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ter Germann\Documents\F2\F2B Tech\Electrics\Fiat C-29 F2B\C.29 2020\"/>
    </mc:Choice>
  </mc:AlternateContent>
  <bookViews>
    <workbookView xWindow="0" yWindow="0" windowWidth="28800" windowHeight="11835" tabRatio="890" activeTab="2"/>
  </bookViews>
  <sheets>
    <sheet name="Schwerpunktrechnung" sheetId="9" r:id="rId1"/>
    <sheet name="Daten und Rechnungen" sheetId="10" r:id="rId2"/>
    <sheet name="Antrieb, Fahrwerk, Momente" sheetId="8" r:id="rId3"/>
    <sheet name="Rumpf &amp; Seitenleitwerk" sheetId="6" r:id="rId4"/>
    <sheet name="Höhenleitwerk" sheetId="5" r:id="rId5"/>
    <sheet name="Tragfläche &amp; Klappen" sheetId="4" r:id="rId6"/>
    <sheet name="Abmessungen" sheetId="7" r:id="rId7"/>
    <sheet name="Formeln" sheetId="11" r:id="rId8"/>
    <sheet name="Gewichte" sheetId="3" r:id="rId9"/>
  </sheets>
  <calcPr calcId="152511"/>
</workbook>
</file>

<file path=xl/calcChain.xml><?xml version="1.0" encoding="utf-8"?>
<calcChain xmlns="http://schemas.openxmlformats.org/spreadsheetml/2006/main">
  <c r="C33" i="9" l="1"/>
  <c r="F38" i="7" l="1"/>
  <c r="E38" i="7"/>
  <c r="D13" i="8" l="1"/>
  <c r="B13" i="8"/>
  <c r="L18" i="11" l="1"/>
  <c r="F32" i="6" l="1"/>
  <c r="F33" i="6"/>
  <c r="K21" i="8" l="1"/>
  <c r="C28" i="9" l="1"/>
  <c r="B28" i="9"/>
  <c r="D66" i="8"/>
  <c r="B66" i="8"/>
  <c r="D19" i="8" l="1"/>
  <c r="G29" i="5" l="1"/>
  <c r="C126" i="3"/>
  <c r="D46" i="4" l="1"/>
  <c r="D50" i="4" l="1"/>
  <c r="F25" i="6"/>
  <c r="H25" i="6" s="1"/>
  <c r="H33" i="6" l="1"/>
  <c r="G30" i="5" l="1"/>
  <c r="E26" i="4" l="1"/>
  <c r="B26" i="4"/>
  <c r="E30" i="5"/>
  <c r="B30" i="5"/>
  <c r="F68" i="4" l="1"/>
  <c r="H68" i="4" s="1"/>
  <c r="F69" i="4"/>
  <c r="H69" i="4" s="1"/>
  <c r="F27" i="5" l="1"/>
  <c r="H27" i="5" s="1"/>
  <c r="F19" i="4" l="1"/>
  <c r="H19" i="4" s="1"/>
  <c r="F18" i="5" l="1"/>
  <c r="H18" i="5" s="1"/>
  <c r="F25" i="5" l="1"/>
  <c r="H25" i="5" s="1"/>
  <c r="F17" i="5"/>
  <c r="H17" i="5" s="1"/>
  <c r="H24" i="5" l="1"/>
  <c r="F24" i="5"/>
  <c r="E41" i="5"/>
  <c r="F41" i="5" s="1"/>
  <c r="H41" i="5" s="1"/>
  <c r="F19" i="5"/>
  <c r="H19" i="5" s="1"/>
  <c r="L85" i="8" l="1"/>
  <c r="F45" i="11"/>
  <c r="F44" i="11"/>
  <c r="F43" i="11"/>
  <c r="F41" i="11"/>
  <c r="C43" i="11"/>
  <c r="G12" i="11"/>
  <c r="C41" i="11"/>
  <c r="C31" i="11"/>
  <c r="C29" i="11"/>
  <c r="C28" i="11"/>
  <c r="C40" i="11"/>
  <c r="C44" i="11" s="1"/>
  <c r="C45" i="11" s="1"/>
  <c r="C38" i="10" s="1"/>
  <c r="F40" i="11"/>
  <c r="C16" i="11"/>
  <c r="C20" i="11" s="1"/>
  <c r="C21" i="11" s="1"/>
  <c r="C40" i="10" s="1"/>
  <c r="C17" i="11"/>
  <c r="C32" i="11" l="1"/>
  <c r="C33" i="11" s="1"/>
  <c r="C39" i="10" s="1"/>
  <c r="C41" i="10" s="1"/>
  <c r="C42" i="10" s="1"/>
  <c r="M18" i="8"/>
  <c r="D15" i="8" l="1"/>
  <c r="B15" i="8"/>
  <c r="D14" i="8"/>
  <c r="B14" i="8"/>
  <c r="C26" i="9" l="1"/>
  <c r="B26" i="9"/>
  <c r="L88" i="8"/>
  <c r="D65" i="8"/>
  <c r="B65" i="8"/>
  <c r="D29" i="9" l="1"/>
  <c r="D32" i="9" s="1"/>
  <c r="B74" i="7"/>
  <c r="F31" i="7" s="1"/>
  <c r="B73" i="7"/>
  <c r="G54" i="7"/>
  <c r="G57" i="7"/>
  <c r="G58" i="7"/>
  <c r="G59" i="7"/>
  <c r="G60" i="7"/>
  <c r="G61" i="7"/>
  <c r="F61" i="7"/>
  <c r="F60" i="7"/>
  <c r="F59" i="7"/>
  <c r="F58" i="7"/>
  <c r="F57" i="7"/>
  <c r="F55" i="7"/>
  <c r="F56" i="7"/>
  <c r="F54" i="7"/>
  <c r="F23" i="7" l="1"/>
  <c r="F15" i="7"/>
  <c r="F30" i="7"/>
  <c r="F51" i="7"/>
  <c r="F42" i="7"/>
  <c r="F43" i="7"/>
  <c r="F35" i="7"/>
  <c r="F34" i="7"/>
  <c r="F27" i="7"/>
  <c r="F22" i="7"/>
  <c r="F21" i="7"/>
  <c r="F20" i="7"/>
  <c r="F12" i="7"/>
  <c r="G12" i="7"/>
  <c r="M21" i="8"/>
  <c r="C66" i="10" l="1"/>
  <c r="G20" i="5" l="1"/>
  <c r="G26" i="5" s="1"/>
  <c r="B60" i="7"/>
  <c r="B55" i="7" s="1"/>
  <c r="F29" i="7" s="1"/>
  <c r="B61" i="7"/>
  <c r="G8" i="8"/>
  <c r="G21" i="5" l="1"/>
  <c r="G22" i="5"/>
  <c r="L102" i="8"/>
  <c r="L111" i="8" s="1"/>
  <c r="C60" i="10"/>
  <c r="O103" i="8" s="1"/>
  <c r="C58" i="10" l="1"/>
  <c r="O89" i="8" s="1"/>
  <c r="L84" i="8"/>
  <c r="M42" i="8"/>
  <c r="M46" i="8" s="1"/>
  <c r="L46" i="8"/>
  <c r="K59" i="8" l="1"/>
  <c r="K41" i="8"/>
  <c r="N46" i="8"/>
  <c r="M15" i="8"/>
  <c r="J33" i="8"/>
  <c r="M61" i="8"/>
  <c r="M60" i="8"/>
  <c r="N43" i="8"/>
  <c r="J45" i="8"/>
  <c r="J44" i="8"/>
  <c r="M43" i="8" l="1"/>
  <c r="L43" i="8" s="1"/>
  <c r="C70" i="10"/>
  <c r="C67" i="10"/>
  <c r="C71" i="10" l="1"/>
  <c r="C68" i="10"/>
  <c r="C72" i="10" s="1"/>
  <c r="K24" i="8"/>
  <c r="L45" i="8" s="1"/>
  <c r="M16" i="8"/>
  <c r="M25" i="8"/>
  <c r="K25" i="8"/>
  <c r="M20" i="8"/>
  <c r="M19" i="8"/>
  <c r="M17" i="8"/>
  <c r="K17" i="8"/>
  <c r="K16" i="8"/>
  <c r="M14" i="8"/>
  <c r="B2" i="10" l="1"/>
  <c r="C44" i="10"/>
  <c r="C53" i="10" s="1"/>
  <c r="C32" i="10" l="1"/>
  <c r="C22" i="10"/>
  <c r="E2" i="10"/>
  <c r="E17" i="10" s="1"/>
  <c r="D17" i="10"/>
  <c r="K19" i="8" l="1"/>
  <c r="G16" i="3" l="1"/>
  <c r="B24" i="9"/>
  <c r="B14" i="7"/>
  <c r="D70" i="4" s="1"/>
  <c r="D17" i="8" l="1"/>
  <c r="B17" i="8"/>
  <c r="K23" i="8" l="1"/>
  <c r="K15" i="8"/>
  <c r="D16" i="8" l="1"/>
  <c r="B16" i="8"/>
  <c r="B68" i="8" l="1"/>
  <c r="D68" i="8"/>
  <c r="E49" i="4" l="1"/>
  <c r="E71" i="6" l="1"/>
  <c r="B72" i="7"/>
  <c r="F16" i="6" l="1"/>
  <c r="H16" i="6" s="1"/>
  <c r="F34" i="4" l="1"/>
  <c r="H34" i="4" s="1"/>
  <c r="F31" i="4"/>
  <c r="H31" i="4" s="1"/>
  <c r="E70" i="6" l="1"/>
  <c r="B70" i="6"/>
  <c r="E46" i="6"/>
  <c r="B46" i="6"/>
  <c r="E80" i="4"/>
  <c r="B80" i="4"/>
  <c r="E47" i="4"/>
  <c r="F47" i="4" s="1"/>
  <c r="B47" i="4"/>
  <c r="E40" i="5"/>
  <c r="B40" i="5"/>
  <c r="D17" i="9" l="1"/>
  <c r="C9" i="4"/>
  <c r="C9" i="5"/>
  <c r="C8" i="6"/>
  <c r="C8" i="8"/>
  <c r="B42" i="7" l="1"/>
  <c r="E42" i="5" l="1"/>
  <c r="B42" i="5"/>
  <c r="E81" i="4"/>
  <c r="B81" i="4"/>
  <c r="E48" i="4"/>
  <c r="F48" i="4" s="1"/>
  <c r="H48" i="4" s="1"/>
  <c r="B48" i="4"/>
  <c r="B49" i="4"/>
  <c r="B71" i="6"/>
  <c r="E47" i="6"/>
  <c r="B47" i="6"/>
  <c r="D26" i="9" l="1"/>
  <c r="D28" i="9"/>
  <c r="E66" i="8"/>
  <c r="B33" i="9" l="1"/>
  <c r="G65" i="6" l="1"/>
  <c r="F64" i="6"/>
  <c r="G72" i="6"/>
  <c r="G71" i="6"/>
  <c r="G70" i="6"/>
  <c r="H65" i="6"/>
  <c r="F29" i="6" l="1"/>
  <c r="H29" i="6" s="1"/>
  <c r="F28" i="6" l="1"/>
  <c r="H28" i="6" s="1"/>
  <c r="F24" i="6"/>
  <c r="H24" i="6" s="1"/>
  <c r="F23" i="6"/>
  <c r="H23" i="6" s="1"/>
  <c r="F21" i="6" l="1"/>
  <c r="G21" i="6"/>
  <c r="D30" i="9" s="1"/>
  <c r="F18" i="6"/>
  <c r="H21" i="6" l="1"/>
  <c r="H18" i="6"/>
  <c r="B60" i="6" l="1"/>
  <c r="E72" i="6"/>
  <c r="B72" i="6"/>
  <c r="E48" i="6"/>
  <c r="B48" i="6"/>
  <c r="E24" i="4" l="1"/>
  <c r="B24" i="4"/>
  <c r="F29" i="4" l="1"/>
  <c r="H29" i="4" s="1"/>
  <c r="F26" i="5" l="1"/>
  <c r="H26" i="5" s="1"/>
  <c r="F21" i="5"/>
  <c r="H21" i="5" s="1"/>
  <c r="G22" i="3"/>
  <c r="F17" i="4" l="1"/>
  <c r="H17" i="4" s="1"/>
  <c r="E23" i="4"/>
  <c r="F23" i="4" s="1"/>
  <c r="H23" i="4" s="1"/>
  <c r="B23" i="4"/>
  <c r="E22" i="4"/>
  <c r="B22" i="4"/>
  <c r="B10" i="6" l="1"/>
  <c r="B9" i="8"/>
  <c r="B29" i="7" l="1"/>
  <c r="F30" i="5" l="1"/>
  <c r="H30" i="5" s="1"/>
  <c r="E29" i="5"/>
  <c r="F29" i="5" s="1"/>
  <c r="H29" i="5" s="1"/>
  <c r="B29" i="5"/>
  <c r="E25" i="4"/>
  <c r="F25" i="4" s="1"/>
  <c r="H25" i="4" s="1"/>
  <c r="B25" i="4"/>
  <c r="B83" i="7"/>
  <c r="C9" i="6" s="1"/>
  <c r="D45" i="6" s="1"/>
  <c r="B75" i="7"/>
  <c r="B79" i="7"/>
  <c r="B41" i="7"/>
  <c r="E82" i="4"/>
  <c r="B82" i="4"/>
  <c r="E50" i="4"/>
  <c r="F50" i="4" s="1"/>
  <c r="B50" i="4"/>
  <c r="E43" i="5"/>
  <c r="B43" i="5"/>
  <c r="B16" i="7"/>
  <c r="H33" i="5"/>
  <c r="F15" i="5"/>
  <c r="F20" i="5"/>
  <c r="H20" i="5" s="1"/>
  <c r="F22" i="5"/>
  <c r="H22" i="5" s="1"/>
  <c r="F23" i="5"/>
  <c r="H23" i="5" s="1"/>
  <c r="F28" i="5"/>
  <c r="H28" i="5" s="1"/>
  <c r="B62" i="7"/>
  <c r="E13" i="8"/>
  <c r="F30" i="6"/>
  <c r="H30" i="6" s="1"/>
  <c r="E15" i="8"/>
  <c r="G15" i="8" s="1"/>
  <c r="K18" i="8"/>
  <c r="D18" i="8"/>
  <c r="E18" i="8" s="1"/>
  <c r="G18" i="8" s="1"/>
  <c r="F20" i="6"/>
  <c r="H20" i="6" s="1"/>
  <c r="B26" i="7"/>
  <c r="F18" i="7" s="1"/>
  <c r="C59" i="6"/>
  <c r="B17" i="7"/>
  <c r="F26" i="4"/>
  <c r="H26" i="4" s="1"/>
  <c r="F15" i="4"/>
  <c r="H15" i="4" s="1"/>
  <c r="F16" i="4"/>
  <c r="H16" i="4" s="1"/>
  <c r="F18" i="4"/>
  <c r="H18" i="4" s="1"/>
  <c r="F20" i="4"/>
  <c r="H20" i="4" s="1"/>
  <c r="F21" i="4"/>
  <c r="H21" i="4" s="1"/>
  <c r="F22" i="4"/>
  <c r="F24" i="4"/>
  <c r="H24" i="4" s="1"/>
  <c r="F27" i="4"/>
  <c r="H27" i="4" s="1"/>
  <c r="F30" i="4"/>
  <c r="H30" i="4" s="1"/>
  <c r="F32" i="4"/>
  <c r="H32" i="4" s="1"/>
  <c r="F33" i="4"/>
  <c r="H33" i="4" s="1"/>
  <c r="F35" i="4"/>
  <c r="H35" i="4" s="1"/>
  <c r="F36" i="4"/>
  <c r="F37" i="4"/>
  <c r="H37" i="4" s="1"/>
  <c r="F67" i="4"/>
  <c r="F71" i="4"/>
  <c r="H71" i="4" s="1"/>
  <c r="F22" i="6"/>
  <c r="H22" i="6" s="1"/>
  <c r="F14" i="6"/>
  <c r="F15" i="6"/>
  <c r="H15" i="6" s="1"/>
  <c r="F17" i="6"/>
  <c r="H17" i="6" s="1"/>
  <c r="F31" i="6"/>
  <c r="H31" i="6" s="1"/>
  <c r="F27" i="6"/>
  <c r="H27" i="6" s="1"/>
  <c r="F19" i="6"/>
  <c r="H19" i="6" s="1"/>
  <c r="F26" i="6"/>
  <c r="H26" i="6" s="1"/>
  <c r="H32" i="6"/>
  <c r="F34" i="6"/>
  <c r="H40" i="4"/>
  <c r="J16" i="8"/>
  <c r="C29" i="9"/>
  <c r="C48" i="9" s="1"/>
  <c r="G66" i="8"/>
  <c r="E18" i="9"/>
  <c r="E17" i="8"/>
  <c r="G17" i="8" s="1"/>
  <c r="H37" i="6"/>
  <c r="E16" i="8"/>
  <c r="G16" i="8" s="1"/>
  <c r="H74" i="4"/>
  <c r="B51" i="5"/>
  <c r="E30" i="9"/>
  <c r="E32" i="9"/>
  <c r="E33" i="9"/>
  <c r="D27" i="9"/>
  <c r="E31" i="9"/>
  <c r="B69" i="6"/>
  <c r="A8" i="7"/>
  <c r="F11" i="4"/>
  <c r="F61" i="4" s="1"/>
  <c r="G10" i="5"/>
  <c r="G9" i="6"/>
  <c r="G21" i="3"/>
  <c r="G20" i="3"/>
  <c r="G19" i="3"/>
  <c r="G27" i="3"/>
  <c r="G26" i="3"/>
  <c r="B8" i="3"/>
  <c r="B8" i="7"/>
  <c r="B27" i="9"/>
  <c r="B23" i="9"/>
  <c r="B22" i="9"/>
  <c r="G13" i="3"/>
  <c r="G14" i="3"/>
  <c r="G15" i="3"/>
  <c r="G17" i="3"/>
  <c r="G18" i="3"/>
  <c r="G12" i="3"/>
  <c r="H14" i="6" l="1"/>
  <c r="F36" i="6"/>
  <c r="F39" i="6" s="1"/>
  <c r="L44" i="8"/>
  <c r="F47" i="7"/>
  <c r="M44" i="8"/>
  <c r="M45" i="8"/>
  <c r="N45" i="8" s="1"/>
  <c r="G34" i="6"/>
  <c r="H34" i="6" s="1"/>
  <c r="C54" i="9"/>
  <c r="D54" i="9" s="1"/>
  <c r="K22" i="8"/>
  <c r="B40" i="7"/>
  <c r="H22" i="4"/>
  <c r="F67" i="6"/>
  <c r="H64" i="6"/>
  <c r="E68" i="8"/>
  <c r="G68" i="8" s="1"/>
  <c r="D71" i="6"/>
  <c r="F71" i="6" s="1"/>
  <c r="H71" i="6" s="1"/>
  <c r="D70" i="6"/>
  <c r="F70" i="6" s="1"/>
  <c r="F46" i="6"/>
  <c r="H46" i="6" s="1"/>
  <c r="F47" i="6"/>
  <c r="H47" i="6" s="1"/>
  <c r="H36" i="4"/>
  <c r="E14" i="8"/>
  <c r="E19" i="8"/>
  <c r="G19" i="8" s="1"/>
  <c r="E26" i="9"/>
  <c r="D48" i="9"/>
  <c r="B82" i="7"/>
  <c r="C84" i="6" s="1"/>
  <c r="C85" i="6" s="1"/>
  <c r="D72" i="6"/>
  <c r="F72" i="6" s="1"/>
  <c r="H72" i="6" s="1"/>
  <c r="B12" i="7"/>
  <c r="C62" i="4"/>
  <c r="F70" i="4" s="1"/>
  <c r="H70" i="4" s="1"/>
  <c r="G13" i="8"/>
  <c r="H15" i="5"/>
  <c r="F48" i="6"/>
  <c r="B18" i="7"/>
  <c r="E65" i="8"/>
  <c r="E67" i="8" s="1"/>
  <c r="N44" i="8" l="1"/>
  <c r="D39" i="5"/>
  <c r="F26" i="7"/>
  <c r="F28" i="7"/>
  <c r="B13" i="7"/>
  <c r="F19" i="7"/>
  <c r="H36" i="6"/>
  <c r="H39" i="6" s="1"/>
  <c r="G39" i="6" s="1"/>
  <c r="E28" i="9"/>
  <c r="H73" i="4"/>
  <c r="H76" i="4" s="1"/>
  <c r="F73" i="4"/>
  <c r="F76" i="4" s="1"/>
  <c r="C27" i="9"/>
  <c r="E27" i="9" s="1"/>
  <c r="G14" i="8"/>
  <c r="G42" i="8" s="1"/>
  <c r="E42" i="8"/>
  <c r="C25" i="9" s="1"/>
  <c r="C47" i="9" s="1"/>
  <c r="H70" i="6"/>
  <c r="H76" i="6" s="1"/>
  <c r="F74" i="6"/>
  <c r="F76" i="6" s="1"/>
  <c r="F50" i="6"/>
  <c r="F54" i="6" s="1"/>
  <c r="C10" i="4"/>
  <c r="B15" i="7"/>
  <c r="H48" i="6"/>
  <c r="D79" i="4"/>
  <c r="G65" i="8"/>
  <c r="B20" i="7"/>
  <c r="C58" i="5"/>
  <c r="C59" i="5" s="1"/>
  <c r="C10" i="5"/>
  <c r="F16" i="5" s="1"/>
  <c r="F32" i="5" s="1"/>
  <c r="B23" i="7"/>
  <c r="B19" i="7"/>
  <c r="D49" i="4" l="1"/>
  <c r="F49" i="4" s="1"/>
  <c r="F52" i="4" s="1"/>
  <c r="D47" i="4"/>
  <c r="F40" i="5"/>
  <c r="F42" i="5"/>
  <c r="G36" i="6"/>
  <c r="F28" i="4"/>
  <c r="F39" i="4" s="1"/>
  <c r="G73" i="4"/>
  <c r="F83" i="6"/>
  <c r="K14" i="8" s="1"/>
  <c r="D47" i="9"/>
  <c r="C93" i="4"/>
  <c r="C94" i="4" s="1"/>
  <c r="G77" i="6"/>
  <c r="F43" i="8"/>
  <c r="D25" i="9" s="1"/>
  <c r="E25" i="9" s="1"/>
  <c r="F80" i="4"/>
  <c r="H80" i="4" s="1"/>
  <c r="F82" i="4"/>
  <c r="H82" i="4" s="1"/>
  <c r="F81" i="4"/>
  <c r="H50" i="6"/>
  <c r="G50" i="6" s="1"/>
  <c r="H16" i="5"/>
  <c r="H32" i="5" s="1"/>
  <c r="H35" i="5" s="1"/>
  <c r="F35" i="5"/>
  <c r="F43" i="5"/>
  <c r="H43" i="5" s="1"/>
  <c r="G76" i="4"/>
  <c r="H40" i="5" l="1"/>
  <c r="F45" i="5"/>
  <c r="H50" i="4"/>
  <c r="H28" i="4"/>
  <c r="H39" i="4" s="1"/>
  <c r="H42" i="4" s="1"/>
  <c r="G86" i="6"/>
  <c r="C86" i="6"/>
  <c r="H52" i="6"/>
  <c r="G79" i="6" s="1"/>
  <c r="F87" i="6" s="1"/>
  <c r="F42" i="4"/>
  <c r="C45" i="9" s="1"/>
  <c r="H49" i="4"/>
  <c r="H47" i="4"/>
  <c r="G35" i="5"/>
  <c r="C22" i="9"/>
  <c r="H42" i="5"/>
  <c r="H81" i="4"/>
  <c r="H84" i="4" s="1"/>
  <c r="F84" i="4"/>
  <c r="F87" i="4" s="1"/>
  <c r="H45" i="5" l="1"/>
  <c r="F56" i="4"/>
  <c r="H56" i="4"/>
  <c r="G39" i="4"/>
  <c r="G42" i="4"/>
  <c r="D22" i="9"/>
  <c r="G55" i="6"/>
  <c r="D45" i="9"/>
  <c r="F47" i="5"/>
  <c r="G88" i="4"/>
  <c r="H87" i="4"/>
  <c r="G47" i="5" l="1"/>
  <c r="G52" i="5" s="1"/>
  <c r="G57" i="4"/>
  <c r="G58" i="4" s="1"/>
  <c r="H58" i="4" s="1"/>
  <c r="F51" i="5"/>
  <c r="F57" i="5" s="1"/>
  <c r="C24" i="9" s="1"/>
  <c r="F92" i="4"/>
  <c r="K13" i="8" s="1"/>
  <c r="C46" i="9"/>
  <c r="G89" i="4"/>
  <c r="H89" i="4" s="1"/>
  <c r="D46" i="9" l="1"/>
  <c r="C50" i="9"/>
  <c r="G96" i="4"/>
  <c r="D23" i="9" s="1"/>
  <c r="C95" i="4"/>
  <c r="C23" i="9"/>
  <c r="G53" i="5"/>
  <c r="G61" i="5" s="1"/>
  <c r="D24" i="9" s="1"/>
  <c r="K20" i="8"/>
  <c r="C60" i="5"/>
  <c r="C35" i="9" l="1"/>
  <c r="E23" i="9"/>
  <c r="E24" i="9"/>
  <c r="H53" i="5"/>
  <c r="C75" i="10" l="1"/>
  <c r="C74" i="10" s="1"/>
  <c r="L60" i="8" s="1"/>
  <c r="F14" i="7"/>
  <c r="L42" i="8"/>
  <c r="L48" i="8" s="1"/>
  <c r="L54" i="8" s="1"/>
  <c r="C19" i="10"/>
  <c r="C23" i="10" s="1"/>
  <c r="C24" i="10" s="1"/>
  <c r="C36" i="9"/>
  <c r="D53" i="9" s="1"/>
  <c r="C52" i="9"/>
  <c r="E22" i="9"/>
  <c r="C76" i="10" l="1"/>
  <c r="L61" i="8" s="1"/>
  <c r="N61" i="8" s="1"/>
  <c r="N60" i="8"/>
  <c r="N42" i="8"/>
  <c r="N49" i="8" s="1"/>
  <c r="C25" i="10"/>
  <c r="K102" i="8"/>
  <c r="N64" i="8" l="1"/>
  <c r="L63" i="8"/>
  <c r="L69" i="8" s="1"/>
  <c r="J10" i="8"/>
  <c r="K125" i="8" s="1"/>
  <c r="K111" i="8"/>
  <c r="O102" i="8"/>
  <c r="M50" i="8"/>
  <c r="M51" i="8" s="1"/>
  <c r="M55" i="8" s="1"/>
  <c r="N56" i="8" s="1"/>
  <c r="M65" i="8" l="1"/>
  <c r="M66" i="8" s="1"/>
  <c r="M70" i="8" s="1"/>
  <c r="N71" i="8" s="1"/>
  <c r="L72" i="8" s="1"/>
  <c r="L14" i="8"/>
  <c r="N14" i="8" s="1"/>
  <c r="L24" i="8"/>
  <c r="N24" i="8" s="1"/>
  <c r="L18" i="8"/>
  <c r="N18" i="8" s="1"/>
  <c r="L15" i="8"/>
  <c r="N15" i="8" s="1"/>
  <c r="L13" i="8"/>
  <c r="N13" i="8" s="1"/>
  <c r="L21" i="8"/>
  <c r="N21" i="8" s="1"/>
  <c r="L16" i="8"/>
  <c r="N16" i="8" s="1"/>
  <c r="L19" i="8"/>
  <c r="N19" i="8" s="1"/>
  <c r="L22" i="8"/>
  <c r="N22" i="8" s="1"/>
  <c r="L20" i="8"/>
  <c r="N20" i="8" s="1"/>
  <c r="L17" i="8"/>
  <c r="N17" i="8" s="1"/>
  <c r="L25" i="8"/>
  <c r="N25" i="8" s="1"/>
  <c r="L23" i="8"/>
  <c r="N23" i="8" s="1"/>
  <c r="O111" i="8"/>
  <c r="L57" i="8"/>
  <c r="N74" i="8" l="1"/>
  <c r="L75" i="8" s="1"/>
  <c r="L28" i="8"/>
  <c r="L33" i="8" s="1"/>
  <c r="L38" i="8" s="1"/>
  <c r="N27" i="8"/>
  <c r="C43" i="10"/>
  <c r="K84" i="8" s="1"/>
  <c r="M29" i="8" l="1"/>
  <c r="M32" i="8" s="1"/>
  <c r="N37" i="8" s="1"/>
  <c r="K94" i="8"/>
  <c r="O84" i="8"/>
  <c r="K85" i="8"/>
  <c r="O85" i="8" s="1"/>
  <c r="C37" i="10"/>
  <c r="K88" i="8"/>
  <c r="O88" i="8" s="1"/>
  <c r="N35" i="8" l="1"/>
  <c r="L36" i="8" s="1"/>
  <c r="L39" i="8"/>
  <c r="L77" i="8" l="1"/>
  <c r="E29" i="9"/>
  <c r="E35" i="9" l="1"/>
  <c r="C40" i="9" s="1"/>
  <c r="C41" i="9" s="1"/>
  <c r="C42" i="9" s="1"/>
  <c r="F25" i="8" s="1"/>
  <c r="L86" i="8" l="1"/>
  <c r="O86" i="8" s="1"/>
  <c r="O90" i="8" s="1"/>
  <c r="E25" i="8"/>
  <c r="F48" i="7"/>
  <c r="L89" i="8"/>
  <c r="D41" i="9"/>
  <c r="L103" i="8"/>
  <c r="K103" i="8" s="1"/>
  <c r="L125" i="8"/>
  <c r="O125" i="8" s="1"/>
  <c r="K126" i="8" s="1"/>
  <c r="K127" i="8" s="1"/>
  <c r="L112" i="8" l="1"/>
  <c r="K91" i="8"/>
  <c r="F49" i="7"/>
  <c r="K104" i="8"/>
  <c r="K112" i="8"/>
  <c r="K106" i="8"/>
  <c r="L120" i="8" s="1"/>
  <c r="L106" i="8" s="1"/>
  <c r="K89" i="8"/>
  <c r="L91" i="8"/>
  <c r="O91" i="8" l="1"/>
  <c r="O92" i="8" s="1"/>
  <c r="K93" i="8"/>
  <c r="K113" i="8"/>
  <c r="K117" i="8" s="1"/>
  <c r="K119" i="8" s="1"/>
  <c r="O112" i="8"/>
  <c r="K108" i="8"/>
  <c r="K95" i="8" l="1"/>
  <c r="L95" i="8" s="1"/>
  <c r="B88" i="7" s="1"/>
  <c r="F44" i="7" s="1"/>
  <c r="C54" i="10"/>
</calcChain>
</file>

<file path=xl/sharedStrings.xml><?xml version="1.0" encoding="utf-8"?>
<sst xmlns="http://schemas.openxmlformats.org/spreadsheetml/2006/main" count="872" uniqueCount="655">
  <si>
    <t>Gewicht</t>
  </si>
  <si>
    <t>Arm</t>
  </si>
  <si>
    <t>Moment</t>
  </si>
  <si>
    <t>Gr/qdm</t>
  </si>
  <si>
    <t>qdm</t>
  </si>
  <si>
    <t>Scharnier Flaps - Scharnier Höhenruder</t>
  </si>
  <si>
    <t>Tragfläche und  Klappen</t>
  </si>
  <si>
    <t>Spannweite</t>
  </si>
  <si>
    <t>Flächentiefe am Randbogen, inkl. Klappen</t>
  </si>
  <si>
    <t>Flächentiefe am Randbogen, ohne Klappen</t>
  </si>
  <si>
    <t>Flächentiefe Rumpfmitte, inkl. Klappen</t>
  </si>
  <si>
    <t>Anteil Klappen am Flächeninhalt der Tragfläche</t>
  </si>
  <si>
    <t>Anteil Höhenleitwerk am Flächeninhalt der Tragfläche</t>
  </si>
  <si>
    <t>Anteil Höhenruder am Flächeninhalt des Höhenleitwerkes</t>
  </si>
  <si>
    <t>Höhenleitwerk</t>
  </si>
  <si>
    <t>Tiefe Leitwerk Mitte, inkl. Ruder</t>
  </si>
  <si>
    <t>Tiefe Leitwerk am Randbogen, inkl. Ruder</t>
  </si>
  <si>
    <t>Tiefe Stabilo in der Mitte</t>
  </si>
  <si>
    <t>Tiefe Stabilo am Randbogen</t>
  </si>
  <si>
    <t>Tiefe Höhenruder Mitte</t>
  </si>
  <si>
    <t>Tiefe Höhenruder am Randbogen</t>
  </si>
  <si>
    <t>Flächeninhalt Stabilo, qdm</t>
  </si>
  <si>
    <t>Flächeninhalt Höhenleitwerk, qdm</t>
  </si>
  <si>
    <t>Flächeninhalt Tragfläche, inkl. Klappen, qdm</t>
  </si>
  <si>
    <t>Flächeninhalt Klappen (2), qdm</t>
  </si>
  <si>
    <t>Rumpf</t>
  </si>
  <si>
    <t>Rohbau</t>
  </si>
  <si>
    <t>Bespannung &amp; Lackierung</t>
  </si>
  <si>
    <t>Tragfläche</t>
  </si>
  <si>
    <t>Flächeninhalt (ohne Klappen) qdm</t>
  </si>
  <si>
    <t>Gewicht / Stück</t>
  </si>
  <si>
    <t>Feinschliff</t>
  </si>
  <si>
    <r>
      <t xml:space="preserve">Anzahl </t>
    </r>
    <r>
      <rPr>
        <sz val="10"/>
        <rFont val="Arial"/>
        <family val="2"/>
      </rPr>
      <t>(St. od. qdm)</t>
    </r>
  </si>
  <si>
    <r>
      <t xml:space="preserve">Arm </t>
    </r>
    <r>
      <rPr>
        <sz val="10"/>
        <rFont val="Arial"/>
        <family val="2"/>
      </rPr>
      <t>(mm)</t>
    </r>
  </si>
  <si>
    <t>Anzahl Anstriche</t>
  </si>
  <si>
    <t>Klappen</t>
  </si>
  <si>
    <t>Flächeninhalt, beide (qdm)</t>
  </si>
  <si>
    <r>
      <t xml:space="preserve">Anzahl </t>
    </r>
    <r>
      <rPr>
        <sz val="10"/>
        <rFont val="Arial"/>
        <family val="2"/>
      </rPr>
      <t>(St. / qdm)</t>
    </r>
  </si>
  <si>
    <t>Schwerpunkt, ab Scharnierlinie</t>
  </si>
  <si>
    <t>Flächeninhalt, qdm</t>
  </si>
  <si>
    <t>Flächeninhalt, insq</t>
  </si>
  <si>
    <t>Gewicht pro qdm</t>
  </si>
  <si>
    <t>Rohbau, geschliffen</t>
  </si>
  <si>
    <t>Rumpf und Seitensteuer</t>
  </si>
  <si>
    <t>Länge</t>
  </si>
  <si>
    <t>Mittlere Höhe (ohne Seitensteuer)</t>
  </si>
  <si>
    <t>Oberfläche</t>
  </si>
  <si>
    <t>Seitenfläche</t>
  </si>
  <si>
    <t>Rumpf, ohne Seitensteuer, lackiert</t>
  </si>
  <si>
    <t>Oberfläche Rumpf</t>
  </si>
  <si>
    <t>Seitensteuer, lackiert</t>
  </si>
  <si>
    <t>Rumpf, mit Seitensteuer, lackiert</t>
  </si>
  <si>
    <t>Antrieb und Fahrwerk</t>
  </si>
  <si>
    <t xml:space="preserve">Anzahl </t>
  </si>
  <si>
    <t>Heckfahrwerk</t>
  </si>
  <si>
    <t>Antrieb</t>
  </si>
  <si>
    <t>Trimmgewicht Heck</t>
  </si>
  <si>
    <t>Trimmgewicht Nase</t>
  </si>
  <si>
    <t>Rohbau Holz, geschliffen</t>
  </si>
  <si>
    <t>Finish, ab Holz geschliffen</t>
  </si>
  <si>
    <t>Dichte</t>
  </si>
  <si>
    <t>Dicke mm</t>
  </si>
  <si>
    <t>Breite mm</t>
  </si>
  <si>
    <t>Schaumstoff "Exporit"</t>
  </si>
  <si>
    <t>Styropor 10</t>
  </si>
  <si>
    <t>Balsa leicht</t>
  </si>
  <si>
    <t>Balsa mittel</t>
  </si>
  <si>
    <t>Sperrholz leicht</t>
  </si>
  <si>
    <t>Sperrholz hart</t>
  </si>
  <si>
    <t>Komponenten</t>
  </si>
  <si>
    <t>Beschichtungen und Oberflächen</t>
  </si>
  <si>
    <t>Gramm pro qdm</t>
  </si>
  <si>
    <t>Seide Esaki No. 3</t>
  </si>
  <si>
    <t>Seide Ciolina</t>
  </si>
  <si>
    <t>Beplankungsverklebung Epoxy auf Schaumstoff</t>
  </si>
  <si>
    <t>Eingabewerte</t>
  </si>
  <si>
    <t>Gespeicherte Festwerte</t>
  </si>
  <si>
    <r>
      <t xml:space="preserve">Anzahl </t>
    </r>
    <r>
      <rPr>
        <sz val="10"/>
        <color indexed="8"/>
        <rFont val="Arial"/>
        <family val="2"/>
      </rPr>
      <t>(St. od. qdm)</t>
    </r>
  </si>
  <si>
    <r>
      <t xml:space="preserve">Arm </t>
    </r>
    <r>
      <rPr>
        <sz val="10"/>
        <color indexed="8"/>
        <rFont val="Arial"/>
        <family val="2"/>
      </rPr>
      <t>(mm)</t>
    </r>
  </si>
  <si>
    <r>
      <t xml:space="preserve">Anzahl </t>
    </r>
    <r>
      <rPr>
        <sz val="10"/>
        <color indexed="8"/>
        <rFont val="Arial"/>
        <family val="2"/>
      </rPr>
      <t>(St. / qdm)</t>
    </r>
  </si>
  <si>
    <t>Detailgewichte und Hilfswerte</t>
  </si>
  <si>
    <r>
      <t xml:space="preserve">Abmessungen </t>
    </r>
    <r>
      <rPr>
        <sz val="12"/>
        <rFont val="Arial"/>
        <family val="2"/>
      </rPr>
      <t>(mm oder qdm)</t>
    </r>
  </si>
  <si>
    <t>Gewichtsrechner</t>
  </si>
  <si>
    <t>oz.</t>
  </si>
  <si>
    <t>Gewicht Gramm</t>
  </si>
  <si>
    <t>Gewicht oz.</t>
  </si>
  <si>
    <t>Gr./qdm/mm</t>
  </si>
  <si>
    <t>Gramm</t>
  </si>
  <si>
    <t>Unterbaugruppe</t>
  </si>
  <si>
    <r>
      <t xml:space="preserve">Aus Unterbaugruppen, </t>
    </r>
    <r>
      <rPr>
        <sz val="10"/>
        <color indexed="10"/>
        <rFont val="Arial"/>
        <family val="2"/>
      </rPr>
      <t>nicht überschreiben</t>
    </r>
  </si>
  <si>
    <r>
      <t>Resultate,</t>
    </r>
    <r>
      <rPr>
        <b/>
        <sz val="10"/>
        <color indexed="10"/>
        <rFont val="Arial"/>
        <family val="2"/>
      </rPr>
      <t xml:space="preserve"> nicht überschreiben</t>
    </r>
  </si>
  <si>
    <t>Klappenlänge innen</t>
  </si>
  <si>
    <t>Klappenlänge aussen</t>
  </si>
  <si>
    <t>Länge Höhenruder  (2x)</t>
  </si>
  <si>
    <t>Stand</t>
  </si>
  <si>
    <r>
      <t xml:space="preserve">Festwerte, </t>
    </r>
    <r>
      <rPr>
        <b/>
        <sz val="10"/>
        <color indexed="10"/>
        <rFont val="Arial"/>
        <family val="2"/>
      </rPr>
      <t>nicht überschreiben</t>
    </r>
  </si>
  <si>
    <r>
      <t xml:space="preserve">Aus Unterbaugruppen, </t>
    </r>
    <r>
      <rPr>
        <b/>
        <sz val="10"/>
        <color indexed="10"/>
        <rFont val="Arial"/>
        <family val="2"/>
      </rPr>
      <t>nicht überschreiben</t>
    </r>
  </si>
  <si>
    <t>Flächeninhalt Höhenruder (2), qdm</t>
  </si>
  <si>
    <t>US Masse</t>
  </si>
  <si>
    <t>1 oz. / Gramm</t>
  </si>
  <si>
    <t>1 inch / mm</t>
  </si>
  <si>
    <t>1 fl. oz / ccm</t>
  </si>
  <si>
    <t>1 sq. ft / qdm</t>
  </si>
  <si>
    <t>1 sq. in / qdm</t>
  </si>
  <si>
    <t>Flächeninhalt Tragfläche, inkl. Klappen, sq.in</t>
  </si>
  <si>
    <t>Flächenbelastung Gramm/qdm</t>
  </si>
  <si>
    <t xml:space="preserve">Flächenbelastung oz/sq.ft </t>
  </si>
  <si>
    <t>Spannlack 80% verd. + Silber, gespritzt</t>
  </si>
  <si>
    <t>Oberfläche Flugzeug, qdm</t>
  </si>
  <si>
    <t>Leinen 0.45 x 18 m mit Anschlüssen</t>
  </si>
  <si>
    <t>Gr./qdm zu oz/sq ft</t>
  </si>
  <si>
    <t>Anz.</t>
  </si>
  <si>
    <t xml:space="preserve">Treibstoff (cc) </t>
  </si>
  <si>
    <t>Depron Heerdegen</t>
  </si>
  <si>
    <t>Rohacell 51</t>
  </si>
  <si>
    <t>Propeller 13" 3 bl BE</t>
  </si>
  <si>
    <t>Leinen 0.39 x 19.5 m mit Anschlüssen</t>
  </si>
  <si>
    <t>CFK Bauteile</t>
  </si>
  <si>
    <t>Seitenleitwerk</t>
  </si>
  <si>
    <t>Flächentiefe Rumpfmitte, ohne Klappen</t>
  </si>
  <si>
    <t>1. Anstrich Hartgrund Ruco verdünnt, auf Silkspan Medium über Holz</t>
  </si>
  <si>
    <t>Regler</t>
  </si>
  <si>
    <t>Höhenleitwerk, komplett</t>
  </si>
  <si>
    <t>Timer</t>
  </si>
  <si>
    <t xml:space="preserve">Streckung / Aspect Ratio  1: </t>
  </si>
  <si>
    <t>Nase (Spinner Backplate - Flügelnase in der Mitte)</t>
  </si>
  <si>
    <t>Spinner Alu 51 mm m. Spannzange 5 mm Graupner 6056.505</t>
  </si>
  <si>
    <t>Schwerpunkt, ab Nasenholm Mitte</t>
  </si>
  <si>
    <t>Schwerpunkt ab Flügelnase Mitte Rumpf</t>
  </si>
  <si>
    <t>Schubstange Höhenruder mit 2 Kugelgelenken</t>
  </si>
  <si>
    <t>Rippen 2 mm</t>
  </si>
  <si>
    <t>Scharnier BH-922 (20 mm)</t>
  </si>
  <si>
    <t>Beplankungsverklebung UHU Por auf Schaumstoff</t>
  </si>
  <si>
    <t>Block hinten, oben</t>
  </si>
  <si>
    <t>Acryl Klarlack (Spraydose) 2 Schichten, Kreuzgang</t>
  </si>
  <si>
    <t>Acryl Farbe (grau &amp; blau Spraydose) inkl.Verzierungen</t>
  </si>
  <si>
    <t>Silkspan Medium &amp; 3 x Hartgrund, auf Holz</t>
  </si>
  <si>
    <t>Kohlevlies Brodak, aufgezogen mit Hartgrund</t>
  </si>
  <si>
    <t>Oracover std. weiss pearl</t>
  </si>
  <si>
    <t>Fahrwerke Stahldraht 3.5 mm, verschalt. L = 165</t>
  </si>
  <si>
    <t>Leinen 0.45 x 19.5 m mit Anschlüssen</t>
  </si>
  <si>
    <t>102x40x34 mm</t>
  </si>
  <si>
    <t>Batterie TP G6 Pro Lite 25C 5S 2'700 mAh</t>
  </si>
  <si>
    <t>Kugelgelenk 3 mm</t>
  </si>
  <si>
    <t>Peter Germann</t>
  </si>
  <si>
    <t>Bespannung und Lackierung</t>
  </si>
  <si>
    <t>Maximale Dicke Stabilo</t>
  </si>
  <si>
    <t>Minimale Dicke Stabilo</t>
  </si>
  <si>
    <t>Klappentiefe am Randbogen innen</t>
  </si>
  <si>
    <t>Klappentiefe am Randbogen aussen</t>
  </si>
  <si>
    <t>Dicke am Randbogen</t>
  </si>
  <si>
    <t>Dicke Mitte</t>
  </si>
  <si>
    <t>Klappen, bespannt und lackiert</t>
  </si>
  <si>
    <t>Finish</t>
  </si>
  <si>
    <t>Horn Höhensteuer 2.5 mm, mit Schraube M3</t>
  </si>
  <si>
    <t>Horn Klappen 2.5, mit 2 Schrauben M3</t>
  </si>
  <si>
    <t>2 Steuerkabel 0.84 mit Anschlüssen</t>
  </si>
  <si>
    <t>Radverschalungen 120 mm Holz/GFK (2) lackiert</t>
  </si>
  <si>
    <t>Radverschalungen 170 mm GFK (2) lackiert</t>
  </si>
  <si>
    <t>3 x Spannlack 30% verd., auf Silkspan GM</t>
  </si>
  <si>
    <t>1. Anstrich Spannlack 50% verdünnt,auf leichter Seide</t>
  </si>
  <si>
    <t>1. Anstrich Spannlack 50% verdünnt, auf  Polyspan</t>
  </si>
  <si>
    <t>Maximale Dicke Höhenruder</t>
  </si>
  <si>
    <t>Leinen 0.39 x 18 m mit Anschlüssen</t>
  </si>
  <si>
    <t>Rohbau Gewichtsausgleich aussen</t>
  </si>
  <si>
    <t>Gewichtsausgleich Leinen (1/2 Leinengewicht)</t>
  </si>
  <si>
    <t>Äusserer Randbogen schwerer um (Gramm)</t>
  </si>
  <si>
    <t>Spinner Alu 45 mm m. Spannzange 5 mm Graupner 6056.455</t>
  </si>
  <si>
    <t>Beplankung 1.5 mm</t>
  </si>
  <si>
    <t>4 x Spannlack 30% verd., auf Silksp. GM</t>
  </si>
  <si>
    <t>Träger zu Timer</t>
  </si>
  <si>
    <t>Drucktaster</t>
  </si>
  <si>
    <t>Flip-Flop Effektlack Composite AL</t>
  </si>
  <si>
    <t>Anstellwinkel Stabilo</t>
  </si>
  <si>
    <t>halbe Spannweite, mit Randbogen 10mm</t>
  </si>
  <si>
    <t>Flächeninhalt  qdm</t>
  </si>
  <si>
    <t>Randbogen b=10 mm</t>
  </si>
  <si>
    <t>Höhenleitwerk, lackiert</t>
  </si>
  <si>
    <t>Fertigschliff</t>
  </si>
  <si>
    <t>Silkspan GM medium, plus 3 Anstr. Spannlack</t>
  </si>
  <si>
    <t>Steuerung</t>
  </si>
  <si>
    <t>Räder Skylite 75 mm (2), mit Achsen</t>
  </si>
  <si>
    <t>Rückplatte Spinner bis Nasenleiste</t>
  </si>
  <si>
    <t>Hingeline - Hingeline</t>
  </si>
  <si>
    <t>Ausschlag</t>
  </si>
  <si>
    <t>45°</t>
  </si>
  <si>
    <t>37°</t>
  </si>
  <si>
    <t>Hebel mm</t>
  </si>
  <si>
    <t>Pfeilung Nasenleiste</t>
  </si>
  <si>
    <t>Pfeilung Endleiste</t>
  </si>
  <si>
    <t>Achse Segment, von Scharnierline nach vorn</t>
  </si>
  <si>
    <t xml:space="preserve">Mitte Leadouts, von Scharnierline nach vorn </t>
  </si>
  <si>
    <t>Profil Crossfire PG Empennage  d = %</t>
  </si>
  <si>
    <r>
      <t xml:space="preserve">Battere TP </t>
    </r>
    <r>
      <rPr>
        <b/>
        <sz val="10"/>
        <rFont val="Arial"/>
        <family val="2"/>
      </rPr>
      <t>G8</t>
    </r>
    <r>
      <rPr>
        <sz val="10"/>
        <rFont val="Arial"/>
        <family val="2"/>
      </rPr>
      <t xml:space="preserve"> ProLite 25C  </t>
    </r>
    <r>
      <rPr>
        <b/>
        <sz val="10"/>
        <rFont val="Arial"/>
        <family val="2"/>
      </rPr>
      <t>5S</t>
    </r>
    <r>
      <rPr>
        <sz val="10"/>
        <rFont val="Arial"/>
        <family val="2"/>
      </rPr>
      <t xml:space="preserve"> 2700 mAh</t>
    </r>
  </si>
  <si>
    <t>Datum: Rückseite Spinner</t>
  </si>
  <si>
    <t>Datum: Flügelnase Mitte Rumpf</t>
  </si>
  <si>
    <t>Schwerpunkt, ab Rückseite Spinner</t>
  </si>
  <si>
    <t>Schwerpunkt ab Rückseite Spinner</t>
  </si>
  <si>
    <t>Schwerpunkt, ab  Rückseite Spinner</t>
  </si>
  <si>
    <t>Schwerpunkt ab  Rückseite Spinner</t>
  </si>
  <si>
    <t>Datum: Scharnierlinie</t>
  </si>
  <si>
    <t>2 Steuerkabel 0.7 mit Anschlüssen</t>
  </si>
  <si>
    <t>Kiefer</t>
  </si>
  <si>
    <t>Aufnahme Horn</t>
  </si>
  <si>
    <t>Scharnier 20 x 36 mm (Kavan)</t>
  </si>
  <si>
    <t>Horn Höhensteuer 3 mm</t>
  </si>
  <si>
    <t>Grundierung Hartgrund, Ruco, 2 x</t>
  </si>
  <si>
    <t>Silkspan Medium, aufgeklebt mit Hartgrund</t>
  </si>
  <si>
    <t>Fahrwerk Stahldraht 4 mm</t>
  </si>
  <si>
    <t>Flapsübergang Mitte</t>
  </si>
  <si>
    <t>Regler CC Phoenix Edge lite 75A</t>
  </si>
  <si>
    <t>Summe aller Momente Rumpf &amp; Seitensteuer</t>
  </si>
  <si>
    <t>Summe aller Momente, Rumpf</t>
  </si>
  <si>
    <t>Rumpf &amp; Seitenleitwerk</t>
  </si>
  <si>
    <t>Deckel HR</t>
  </si>
  <si>
    <t>Block Nase oben</t>
  </si>
  <si>
    <t>Leim</t>
  </si>
  <si>
    <t>Abschluss Rumpf, hinten</t>
  </si>
  <si>
    <t>Fahrwerkservo e-flite EFLG 101</t>
  </si>
  <si>
    <t>Beplankung 1.5 mm, Mitte</t>
  </si>
  <si>
    <t>Capstrips 1.5</t>
  </si>
  <si>
    <t>Polyspan</t>
  </si>
  <si>
    <t xml:space="preserve">Handlaminat Glas 25 Gr. </t>
  </si>
  <si>
    <t xml:space="preserve">Handlaminat Glas 50 Gr. </t>
  </si>
  <si>
    <t xml:space="preserve">Handlaminat Carbon 65 Gr. </t>
  </si>
  <si>
    <t>Sandwich Carbon 68 + Balsa 2.5 + Glas 25</t>
  </si>
  <si>
    <t>Profil  d = %  (inkl. Flaps)</t>
  </si>
  <si>
    <t>Anzahl Rippen</t>
  </si>
  <si>
    <t>t 1-2</t>
  </si>
  <si>
    <t>Schwerpunktrechnung</t>
  </si>
  <si>
    <t>Grundierung Spannlack, verdünnt, 2 x</t>
  </si>
  <si>
    <t>Finish Klappen</t>
  </si>
  <si>
    <t>Länge Tragfläche innen, mit Randbogen 25 mm</t>
  </si>
  <si>
    <t>Länge Tragfläche aussen, inkl. Randbogen 25 mm</t>
  </si>
  <si>
    <t>Beplankung HR 1.5 mm</t>
  </si>
  <si>
    <t>Hornaufnahmen 0.5 mm Sperrholz</t>
  </si>
  <si>
    <r>
      <t>Rohbau, geschliffen</t>
    </r>
    <r>
      <rPr>
        <b/>
        <sz val="10"/>
        <color rgb="FF7030A0"/>
        <rFont val="Arial"/>
        <family val="2"/>
      </rPr>
      <t/>
    </r>
  </si>
  <si>
    <t>Hauptholme Balsa/CFK 6 x 6 x 720</t>
  </si>
  <si>
    <t>Beplankung Endholm 1.5 mm</t>
  </si>
  <si>
    <t>CFK Schubstange, kurz, mit 2 Gewindeeinsätzen</t>
  </si>
  <si>
    <t>CFK Schubstange, lang, mit 2 Gewindeeinsätzen</t>
  </si>
  <si>
    <t>Nasenbeplankung 1.5 mm</t>
  </si>
  <si>
    <t>Silkspan light BH-916</t>
  </si>
  <si>
    <t>Radius Nasenholm Stabilo, mm</t>
  </si>
  <si>
    <t>Nasenring</t>
  </si>
  <si>
    <t>Block oben Mitte</t>
  </si>
  <si>
    <t>Rumpfdeckel oben hinten</t>
  </si>
  <si>
    <t>Mittlere Breite</t>
  </si>
  <si>
    <t>Silkspan light BH-916 (2015) plus 4 Anstr. Spl.</t>
  </si>
  <si>
    <t>Basislack, weiss</t>
  </si>
  <si>
    <t>Verzierungen</t>
  </si>
  <si>
    <t>Tragfläche, lackiert</t>
  </si>
  <si>
    <t>129 x 39 breit x 33 hoch</t>
  </si>
  <si>
    <t>Stützfahrwerk Randbogen</t>
  </si>
  <si>
    <t>Spinner Aeronaut 57 mm (7258/33)</t>
  </si>
  <si>
    <t>Regler CC Phoenix Edge lite 50A</t>
  </si>
  <si>
    <t>Motor Hacker A40-14SV2 mit Prop Mitn. (530)</t>
  </si>
  <si>
    <t>Motor Hacker A40-12SV4 mit Prop Mitn. (610)</t>
  </si>
  <si>
    <t>in.</t>
  </si>
  <si>
    <t>Timer FM-9 LG</t>
  </si>
  <si>
    <t>Schrauben &amp; Diverses</t>
  </si>
  <si>
    <t>Randbogen innen</t>
  </si>
  <si>
    <t>Randb. aussen, m. Bleikammer</t>
  </si>
  <si>
    <t>Kurze Schubstange, CFK mit 1 Gelenk</t>
  </si>
  <si>
    <t>d Hinterkante Endleiste HR (eckig), mm</t>
  </si>
  <si>
    <t>Leichträder Robbe 50 x 18 No 52000026</t>
  </si>
  <si>
    <t>Räder Kavan  50 mm</t>
  </si>
  <si>
    <t>Timer FM-9</t>
  </si>
  <si>
    <t>Fahrwerk CFK 22x2.5, Schrauben &amp; Achsen</t>
  </si>
  <si>
    <t>Träger Fahrwerk</t>
  </si>
  <si>
    <t>Klappentiefe am Rumpf, innen &amp; aussen</t>
  </si>
  <si>
    <t>Spinner Aeronaut 51 mm (7258/25)</t>
  </si>
  <si>
    <t>Tragfläche mit Klappen, lackiert</t>
  </si>
  <si>
    <t>Balsa hart</t>
  </si>
  <si>
    <t>Steuerdreieck 110 mm, 2 x1.5 mm GFK mit Achse und Gelenk</t>
  </si>
  <si>
    <t>Batt. 2700mAh 5S Magna 70C m. Jeti</t>
  </si>
  <si>
    <r>
      <rPr>
        <b/>
        <sz val="10"/>
        <rFont val="Arial"/>
        <family val="2"/>
      </rPr>
      <t>Daten nur in gelbe Felder eingeben</t>
    </r>
    <r>
      <rPr>
        <sz val="10"/>
        <rFont val="Arial"/>
        <family val="2"/>
      </rPr>
      <t xml:space="preserve">. Rote Schrift in grünen Feldern sind Resultate der Berechnungen, diese Felder dürfen nicht überschrieben werden. </t>
    </r>
  </si>
  <si>
    <t>Flugdaten und Kräfte</t>
  </si>
  <si>
    <t>Rundenzeit (sec)</t>
  </si>
  <si>
    <t>Geschwindigkeit (m/sec)</t>
  </si>
  <si>
    <t>Leinenzug Horizontalflug (N)</t>
  </si>
  <si>
    <t>Querbeschleunigung im Horizontalflug (G)</t>
  </si>
  <si>
    <t>Leinenzug Horizontalflug (Kg)</t>
  </si>
  <si>
    <t>Drehzahl (U/min)</t>
  </si>
  <si>
    <t>Gewicht (Gr.)</t>
  </si>
  <si>
    <t>Kraft (Gr.)</t>
  </si>
  <si>
    <t>Moment (Grmm)</t>
  </si>
  <si>
    <t>Arm (mm)</t>
  </si>
  <si>
    <t>Flugradius (m), mit Leinen 19.5 m</t>
  </si>
  <si>
    <t>v aussen (m/sec)</t>
  </si>
  <si>
    <t>Flugradius innen innen</t>
  </si>
  <si>
    <t>Flugradius aussen (m)</t>
  </si>
  <si>
    <t>v innen innen (m/sec)</t>
  </si>
  <si>
    <t>Auftrieb innen-aussen</t>
  </si>
  <si>
    <t>Auftrieb innen (Gr)</t>
  </si>
  <si>
    <t>Auftrieb aussen (Gr)</t>
  </si>
  <si>
    <t>Wolfgang 28.12.16</t>
  </si>
  <si>
    <t>Motordrehmoment im Horizontalflug (Grcm)</t>
  </si>
  <si>
    <t>S.P. Flugzeug</t>
  </si>
  <si>
    <t>Zugkraft Antrieb (N)</t>
  </si>
  <si>
    <t>Widerstand Leinen (Gr.)</t>
  </si>
  <si>
    <t>Kraft Gr.</t>
  </si>
  <si>
    <t>Zugkraft Antrieb (Gr)</t>
  </si>
  <si>
    <t>nach oben</t>
  </si>
  <si>
    <t>nach unten</t>
  </si>
  <si>
    <t>Vektor Motorzug nach vorn</t>
  </si>
  <si>
    <t>Resultierendes Moment 1</t>
  </si>
  <si>
    <t>Zugachse Motor, in Bezug auf Achse Flügel, Grad nach oben</t>
  </si>
  <si>
    <t>Siebenmann</t>
  </si>
  <si>
    <t>1.2°</t>
  </si>
  <si>
    <t>Anstellwinkel Horizontalflug</t>
  </si>
  <si>
    <t>Vektor Motorzug für Nase nach oben</t>
  </si>
  <si>
    <r>
      <t xml:space="preserve">Zugkraft Antrieb </t>
    </r>
    <r>
      <rPr>
        <u/>
        <sz val="10"/>
        <rFont val="Arial"/>
        <family val="2"/>
      </rPr>
      <t>unter</t>
    </r>
    <r>
      <rPr>
        <sz val="10"/>
        <rFont val="Arial"/>
        <family val="2"/>
      </rPr>
      <t xml:space="preserve"> Flügel, = Nase nach oben</t>
    </r>
  </si>
  <si>
    <t>Präzession Pusher, = Nase nach unten</t>
  </si>
  <si>
    <t>Motordrehmoment im Stand (Nm)</t>
  </si>
  <si>
    <t>Propellerleistung im Flug (12x6 9500 25 m/sec) Watt</t>
  </si>
  <si>
    <t>Motor Eingangsleistung im Horizontalflug (Kw)</t>
  </si>
  <si>
    <t>Widerstand Zelle (Gr.)</t>
  </si>
  <si>
    <t>Widerstand Flugzeug (Gr.)</t>
  </si>
  <si>
    <t>Gesamtwiderstand (Gramm)</t>
  </si>
  <si>
    <t>Resultierendes Moment 2 im Horizontalflug</t>
  </si>
  <si>
    <r>
      <t>Zusatztrimmgewicht Aussen (</t>
    </r>
    <r>
      <rPr>
        <u/>
        <sz val="10"/>
        <rFont val="Arial"/>
        <family val="2"/>
      </rPr>
      <t>zusätz</t>
    </r>
    <r>
      <rPr>
        <sz val="10"/>
        <rFont val="Arial"/>
        <family val="2"/>
      </rPr>
      <t>l. z. Ausgl. Leinen &amp; Bau)</t>
    </r>
  </si>
  <si>
    <t xml:space="preserve">Antrieb, mit Batterie &amp; Schlitten </t>
  </si>
  <si>
    <t>Batterieschlitten 2700 5S</t>
  </si>
  <si>
    <t>Gr./qdm/mm/N</t>
  </si>
  <si>
    <t>t 3-13 innen (11, Profili)</t>
  </si>
  <si>
    <t>t 3-13 aussen(11, Profili)</t>
  </si>
  <si>
    <t>-1°</t>
  </si>
  <si>
    <t>Motor, Propeller und Spinner</t>
  </si>
  <si>
    <t>Flügel</t>
  </si>
  <si>
    <t>Richtung</t>
  </si>
  <si>
    <t>Summe aller Momente</t>
  </si>
  <si>
    <t>Resultierender Arm</t>
  </si>
  <si>
    <t>mm</t>
  </si>
  <si>
    <t>Ausgleichsgewicht aussen f. Leinen</t>
  </si>
  <si>
    <t>Schrauben und Diverses</t>
  </si>
  <si>
    <t>Zusatzgewicht Aussen</t>
  </si>
  <si>
    <t>Aufbau</t>
  </si>
  <si>
    <t>http://chrusion.com/BJ7/SuperCalc7.html</t>
  </si>
  <si>
    <t>Festwerte oder ext. Daten</t>
  </si>
  <si>
    <r>
      <t xml:space="preserve">Schwerpunkt </t>
    </r>
    <r>
      <rPr>
        <sz val="10"/>
        <rFont val="Arial"/>
        <family val="2"/>
      </rPr>
      <t>von Scharnierline nach vorn</t>
    </r>
  </si>
  <si>
    <t>Zelle, ohne Leinen und Aussengewichte</t>
  </si>
  <si>
    <t>Auftrieb Fläche innen</t>
  </si>
  <si>
    <t>Flugradius Mittelinie Rumpf</t>
  </si>
  <si>
    <t>v Mitte (m/sec)</t>
  </si>
  <si>
    <t>Lift = Delta v im Quadrat</t>
  </si>
  <si>
    <t>Auftrieb Fläche aussen</t>
  </si>
  <si>
    <t>Kraft aus Drehmoment Motor</t>
  </si>
  <si>
    <t>Summe der Momente</t>
  </si>
  <si>
    <t>nach aussen</t>
  </si>
  <si>
    <t>Lage zu Mitte Flügel</t>
  </si>
  <si>
    <t>+/-0</t>
  </si>
  <si>
    <t>Im Horizontalflug</t>
  </si>
  <si>
    <t>Ab Datum nach oben</t>
  </si>
  <si>
    <t>Vertikaler Arm der Komponenten</t>
  </si>
  <si>
    <t>unter Mitte</t>
  </si>
  <si>
    <t>über Mitte</t>
  </si>
  <si>
    <t>Arm bis Randbogen innen (mm)</t>
  </si>
  <si>
    <t>Kraft nach unten (Gr.)</t>
  </si>
  <si>
    <t>Motordrehmoment im Horizontalflug (Grmm)</t>
  </si>
  <si>
    <t>Abstand MAC innen (mm)</t>
  </si>
  <si>
    <t>Abstand MAC aussen (mm)</t>
  </si>
  <si>
    <t>Arm auf senkrechter Mittelachse Rumpf</t>
  </si>
  <si>
    <t>Versatz der Zugkraft nach aussen</t>
  </si>
  <si>
    <t xml:space="preserve">Rollmoment aus Kräften nach unten  </t>
  </si>
  <si>
    <t>Rollmoment aus Kräften nach oben</t>
  </si>
  <si>
    <t>Summe der Rollmomente</t>
  </si>
  <si>
    <t>Summe aller Querkräfte im Horizontalflug</t>
  </si>
  <si>
    <t>Summe aller Querkräfte Überkopf</t>
  </si>
  <si>
    <t>Störkraft am Randbogen aussen, Überkopf</t>
  </si>
  <si>
    <t>Summe aller Kräfte nach unten</t>
  </si>
  <si>
    <t>Summe aller Kräfte nach oben</t>
  </si>
  <si>
    <t xml:space="preserve">Summe aller Kräfte nach unten </t>
  </si>
  <si>
    <t>Störkraft am Randbogen aussen, nach oben</t>
  </si>
  <si>
    <t>Arm (Versatz der Kraft nach aussen)</t>
  </si>
  <si>
    <t>Arm (Versatz der Zugkraft nach aussen)</t>
  </si>
  <si>
    <t>Störkraft am Randbogen aussen, nach unten</t>
  </si>
  <si>
    <t>Roll nach aussen</t>
  </si>
  <si>
    <t>Roll nach innen</t>
  </si>
  <si>
    <r>
      <t xml:space="preserve">Kräfte nach oben. </t>
    </r>
    <r>
      <rPr>
        <sz val="10"/>
        <rFont val="Arial"/>
        <family val="2"/>
      </rPr>
      <t>Datum: Mittellinie Rumpf - innerer Randbogen</t>
    </r>
  </si>
  <si>
    <t xml:space="preserve">Rollmoment, nach aussen </t>
  </si>
  <si>
    <t>Summe der Störkräfte im Randbogen Aussen,nach oben</t>
  </si>
  <si>
    <t>Rollmoment, nach innen</t>
  </si>
  <si>
    <t>Auslenkung Nase</t>
  </si>
  <si>
    <t>Datum = SP</t>
  </si>
  <si>
    <t>Präzessions-Drehmoment für Prop, Spinner, Rotor (Grmm)</t>
  </si>
  <si>
    <t>Faktor</t>
  </si>
  <si>
    <t>Nm * Faktor = Grmm</t>
  </si>
  <si>
    <t>Nm * Faktor= Grcm</t>
  </si>
  <si>
    <t>Newton* Faktor = Kg Kraft</t>
  </si>
  <si>
    <t>Kg Kraft * Faktor = Newton</t>
  </si>
  <si>
    <t>Widerstand Fahrwerk &amp; Räder, = Nase nach unten</t>
  </si>
  <si>
    <t>Datum:  Profilmitte Tragfläche oder SP</t>
  </si>
  <si>
    <t>Benötigter Motorzug nach oben</t>
  </si>
  <si>
    <t>Verbleibendes Rollmoment im Horizontalflug</t>
  </si>
  <si>
    <r>
      <rPr>
        <b/>
        <sz val="10"/>
        <rFont val="Arial"/>
        <family val="2"/>
      </rPr>
      <t>Benötigter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Winkel Zugachse Motor  </t>
    </r>
    <r>
      <rPr>
        <sz val="10"/>
        <rFont val="Arial"/>
        <family val="2"/>
      </rPr>
      <t>tan / ° nach oben</t>
    </r>
  </si>
  <si>
    <t>Kraft (Gr)</t>
  </si>
  <si>
    <t>Vektor in Flugrichtung (Gr)</t>
  </si>
  <si>
    <t>Vektor nach oben (Pusher) (Gr)</t>
  </si>
  <si>
    <t>Präzessions-Drehmoment für Prop, Spinner, Rotor (Nm)</t>
  </si>
  <si>
    <t>nach innen</t>
  </si>
  <si>
    <t>Präzession im Innen-Looping</t>
  </si>
  <si>
    <t>Präzession im Aussen-Looping</t>
  </si>
  <si>
    <t>Unterschied Leinenzug zwischen Innen- und Aussenlooping</t>
  </si>
  <si>
    <r>
      <t xml:space="preserve">Ausschlag </t>
    </r>
    <r>
      <rPr>
        <b/>
        <sz val="10"/>
        <rFont val="Arial"/>
        <family val="2"/>
      </rPr>
      <t>gegen innen</t>
    </r>
  </si>
  <si>
    <r>
      <t xml:space="preserve">Ausschlag </t>
    </r>
    <r>
      <rPr>
        <b/>
        <sz val="10"/>
        <rFont val="Arial"/>
        <family val="2"/>
      </rPr>
      <t>gegen aussen</t>
    </r>
  </si>
  <si>
    <t>Leinenzug im Looping,unten</t>
  </si>
  <si>
    <t>Leinenzug im Looping, unten</t>
  </si>
  <si>
    <r>
      <t xml:space="preserve">Leinenzug im </t>
    </r>
    <r>
      <rPr>
        <b/>
        <sz val="10"/>
        <rFont val="Arial"/>
        <family val="2"/>
      </rPr>
      <t>Aussen-Looping, unten</t>
    </r>
  </si>
  <si>
    <t>http://nclra.org/Programs/LineRake.php</t>
  </si>
  <si>
    <t>Ausschlagverhältnis Rabe Ruder, Aussen -Innen</t>
  </si>
  <si>
    <t>nach Aussen</t>
  </si>
  <si>
    <t>Achse Segment hinter Schwerpunkt</t>
  </si>
  <si>
    <t>Schiebemomente um die Hochachse (Yaw)</t>
  </si>
  <si>
    <t>Datum: Scharnier Höhenruder</t>
  </si>
  <si>
    <r>
      <rPr>
        <b/>
        <sz val="10"/>
        <rFont val="Arial"/>
        <family val="2"/>
      </rPr>
      <t>Benötigter Ausgleich</t>
    </r>
    <r>
      <rPr>
        <sz val="10"/>
        <rFont val="Arial"/>
        <family val="2"/>
      </rPr>
      <t xml:space="preserve"> Seitenruder, Kraft (Gr)</t>
    </r>
  </si>
  <si>
    <r>
      <t xml:space="preserve">Ausgleich </t>
    </r>
    <r>
      <rPr>
        <sz val="10"/>
        <rFont val="Arial"/>
        <family val="2"/>
      </rPr>
      <t>Seitenruder, Kraft (Gr)</t>
    </r>
  </si>
  <si>
    <r>
      <rPr>
        <b/>
        <sz val="10"/>
        <rFont val="Arial"/>
        <family val="2"/>
      </rPr>
      <t>Innen-Looping, Durchmesser 16 m</t>
    </r>
    <r>
      <rPr>
        <sz val="10"/>
        <rFont val="Arial"/>
        <family val="2"/>
      </rPr>
      <t>, Horizontalflug, Einflug unten</t>
    </r>
  </si>
  <si>
    <r>
      <rPr>
        <b/>
        <sz val="10"/>
        <rFont val="Arial"/>
        <family val="2"/>
      </rPr>
      <t>Aussen-Looping</t>
    </r>
    <r>
      <rPr>
        <sz val="10"/>
        <rFont val="Arial"/>
        <family val="2"/>
      </rPr>
      <t>, Durchmesser 16 m, Horizontalflug, Einflug unten</t>
    </r>
  </si>
  <si>
    <t>Nickmomente um die Querachse (Pitch)</t>
  </si>
  <si>
    <t>Gewicht Leinen</t>
  </si>
  <si>
    <t>Querkräfte nach aussen. Datum: 300 mm unter der Mittellinie Profil (Null-Linie für die Lage der Komponenten)</t>
  </si>
  <si>
    <t>http://www.wentec.com/unipower/calculators/power_torque.asp</t>
  </si>
  <si>
    <t>http://www.drivecalc.de/PropCalc/</t>
  </si>
  <si>
    <t>Präzession Looping Durchmesser 16 m (Nm)</t>
  </si>
  <si>
    <t>Präzession Looping Durchmesser 16 m (Grmm)</t>
  </si>
  <si>
    <t>Schenk</t>
  </si>
  <si>
    <t>Max Bee</t>
  </si>
  <si>
    <t>19</t>
  </si>
  <si>
    <t>Max Bee = 15°</t>
  </si>
  <si>
    <t>Motorzug</t>
  </si>
  <si>
    <t>Auftrieb (Gr)</t>
  </si>
  <si>
    <t>98 %</t>
  </si>
  <si>
    <t>100 %</t>
  </si>
  <si>
    <t>101.6 %</t>
  </si>
  <si>
    <r>
      <t xml:space="preserve">Leinenzug im </t>
    </r>
    <r>
      <rPr>
        <b/>
        <sz val="10"/>
        <rFont val="Arial"/>
        <family val="2"/>
      </rPr>
      <t>Innen-Looping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unten</t>
    </r>
  </si>
  <si>
    <t>Nach vorne wirkende Kraft am inneren Randbogen</t>
  </si>
  <si>
    <r>
      <t xml:space="preserve">Resultierende </t>
    </r>
    <r>
      <rPr>
        <b/>
        <sz val="10"/>
        <rFont val="Arial"/>
        <family val="2"/>
      </rPr>
      <t>Reibungskraft</t>
    </r>
    <r>
      <rPr>
        <sz val="10"/>
        <rFont val="Arial"/>
        <family val="2"/>
      </rPr>
      <t>, Stahl - Messing, Koeffizient 0.25 (Gr)</t>
    </r>
  </si>
  <si>
    <r>
      <rPr>
        <b/>
        <sz val="10"/>
        <rFont val="Arial"/>
        <family val="2"/>
      </rPr>
      <t>Leinenführung</t>
    </r>
    <r>
      <rPr>
        <sz val="10"/>
        <rFont val="Arial"/>
        <family val="2"/>
      </rPr>
      <t xml:space="preserve"> hinter  SP</t>
    </r>
  </si>
  <si>
    <t>Spannweite mm</t>
  </si>
  <si>
    <t>Tragfläche inkl. Flaps, qdm</t>
  </si>
  <si>
    <t>Länge innere Tragfläche mm</t>
  </si>
  <si>
    <t>Fläche inkl. Ruder, qdm</t>
  </si>
  <si>
    <t>für Roll nach aussen</t>
  </si>
  <si>
    <t>Länge äussere Tragfläche, mm</t>
  </si>
  <si>
    <t>Fläche, qdm</t>
  </si>
  <si>
    <t>Scharnier - Scharnier mm</t>
  </si>
  <si>
    <t>Rückseite Spinner - Nasenleiste mm</t>
  </si>
  <si>
    <t>Profil, ähnlich NACA 009  d= %</t>
  </si>
  <si>
    <t>Aussenzug Motor in Grad</t>
  </si>
  <si>
    <t>Zugachse Motor nach oben, in Grad</t>
  </si>
  <si>
    <t>Zugachse Motor nach aussen, in Grad</t>
  </si>
  <si>
    <t>Anstellwinkel Stabilo, nach unten in Grad</t>
  </si>
  <si>
    <t>Leinenführung hinter Schwerpunkt mm</t>
  </si>
  <si>
    <t>Mittlerer Schwerpunkt vor Scharnierlinie mm</t>
  </si>
  <si>
    <t xml:space="preserve">Ausgleichskraft durch Verdrehen der Flaps Gr </t>
  </si>
  <si>
    <t>APC 12 x 6 EP  9'500 U/min</t>
  </si>
  <si>
    <t>Profil, inkl. Flaps, ähnlich NACA 018 d= %</t>
  </si>
  <si>
    <t>Aussengewicht Gr</t>
  </si>
  <si>
    <r>
      <rPr>
        <b/>
        <sz val="10"/>
        <rFont val="Arial"/>
        <family val="2"/>
      </rPr>
      <t>Gewicht</t>
    </r>
    <r>
      <rPr>
        <sz val="10"/>
        <rFont val="Arial"/>
        <family val="2"/>
      </rPr>
      <t>, mit Batterie Gr</t>
    </r>
  </si>
  <si>
    <t>Mittlerer Schwerpunkt am Rumpf mm</t>
  </si>
  <si>
    <t>Seitenruder-Ausschlag bei 45° Höhenruder</t>
  </si>
  <si>
    <t>Motor</t>
  </si>
  <si>
    <t>Zugachse Motor unter Profilmitte Flügel, mm</t>
  </si>
  <si>
    <t>Schwerpunkt und BenchTrim</t>
  </si>
  <si>
    <t>AXI 2826/13 F2B</t>
  </si>
  <si>
    <t>Einstellbar +/- 6 mm</t>
  </si>
  <si>
    <t>Rundenzeit 19.5 m sec</t>
  </si>
  <si>
    <t>Achse Segment ab Scharnierlinie nach vorn</t>
  </si>
  <si>
    <t>1</t>
  </si>
  <si>
    <t>Segment, Anlenkpunkt Schubstange. Einbau gegen Aussen</t>
  </si>
  <si>
    <t>Segment, Abstand Leadout  Kabel</t>
  </si>
  <si>
    <t>Versatz Leadout Kabel, vom Drehpunkt Segment nach innen</t>
  </si>
  <si>
    <t>Klappen, Anlenkpunkt Schubstange zum Segment &amp; zum  HR</t>
  </si>
  <si>
    <t>Höhenruder, Anlenkpunkt Schubstange</t>
  </si>
  <si>
    <t>Steuermechanik</t>
  </si>
  <si>
    <t>Abstand Leadouts am Segment</t>
  </si>
  <si>
    <t>Hebelarm am Segment</t>
  </si>
  <si>
    <t>Hebelarm am Horn Klappen 1</t>
  </si>
  <si>
    <t>Hebelarm am Horn Klappen 2</t>
  </si>
  <si>
    <t>Hebelarm am Horn Klappen 3</t>
  </si>
  <si>
    <t>Schubstange aussen</t>
  </si>
  <si>
    <t>Leadouts Versatz nach innen</t>
  </si>
  <si>
    <t>Shark</t>
  </si>
  <si>
    <t xml:space="preserve">Konstruktionsbedingte Kräfte und Momente </t>
  </si>
  <si>
    <r>
      <rPr>
        <b/>
        <sz val="10"/>
        <rFont val="Arial"/>
        <family val="2"/>
      </rPr>
      <t>Last auf Leinenführung und Reibungskraft</t>
    </r>
    <r>
      <rPr>
        <sz val="10"/>
        <rFont val="Arial"/>
        <family val="2"/>
      </rPr>
      <t>. Datum: SP</t>
    </r>
  </si>
  <si>
    <r>
      <rPr>
        <b/>
        <sz val="10"/>
        <rFont val="Arial"/>
        <family val="2"/>
      </rPr>
      <t>Pusher = Nose down</t>
    </r>
    <r>
      <rPr>
        <sz val="10"/>
        <rFont val="Arial"/>
        <family val="2"/>
      </rPr>
      <t xml:space="preserve">       Tractor = Nose up</t>
    </r>
  </si>
  <si>
    <r>
      <rPr>
        <b/>
        <sz val="10"/>
        <rFont val="Arial"/>
        <family val="2"/>
      </rPr>
      <t xml:space="preserve">Pusher = Nose in </t>
    </r>
    <r>
      <rPr>
        <sz val="10"/>
        <rFont val="Arial"/>
        <family val="2"/>
      </rPr>
      <t xml:space="preserve">      Tractor = Nose out</t>
    </r>
  </si>
  <si>
    <t>Einbau Segment</t>
  </si>
  <si>
    <t>Hebelarm am Horn Höhenruder 1</t>
  </si>
  <si>
    <t>Hebelarm am Horn Höhenruder 2</t>
  </si>
  <si>
    <t>https://www.hilfreiche-tools.de/mechanik/luftwiderstandskraft-berechnen.html</t>
  </si>
  <si>
    <t>Luftdichte 25°</t>
  </si>
  <si>
    <t>cw senkr. Platte</t>
  </si>
  <si>
    <t>cw Radverschal.</t>
  </si>
  <si>
    <t>N = Gramm</t>
  </si>
  <si>
    <t>http://online.unitconverterpro.com/unit-conversion/convert-alpha/force.html</t>
  </si>
  <si>
    <t>Newton Kraft</t>
  </si>
  <si>
    <t>Gramm Kraft</t>
  </si>
  <si>
    <t>Nm</t>
  </si>
  <si>
    <t>qcm - qm</t>
  </si>
  <si>
    <t>Geteilt durch</t>
  </si>
  <si>
    <t>Radbreite cm</t>
  </si>
  <si>
    <t>Raddurchmesser cm</t>
  </si>
  <si>
    <t>Querschnittsfläche qm</t>
  </si>
  <si>
    <t>Luftdichte cw</t>
  </si>
  <si>
    <t>Geschwindigkeit m/s</t>
  </si>
  <si>
    <t>Widerstand Gramm</t>
  </si>
  <si>
    <t>Widerstandsbeiwert cw</t>
  </si>
  <si>
    <t>Durchmesser Draht cm</t>
  </si>
  <si>
    <t>Länge cm</t>
  </si>
  <si>
    <t>Widerstand 2 Räder</t>
  </si>
  <si>
    <t>Widerstand 2 Beine</t>
  </si>
  <si>
    <t xml:space="preserve">Widerstand Fahrwerk und Räder (Gr.) </t>
  </si>
  <si>
    <t>Abstand SP zu Mitte Flügel</t>
  </si>
  <si>
    <t>Rollmomente aus Gewichts-Querkräften</t>
  </si>
  <si>
    <t>Rollmoment aus Gewichts-Querkräften im Horizontalflug</t>
  </si>
  <si>
    <t>Rollmoment aus Gewichts-Querkräften Überkopf</t>
  </si>
  <si>
    <t>Radachse unter Profilmitte Flügel</t>
  </si>
  <si>
    <t>https://rechneronline.de/pi/rechtwinkliges-dreieck.php</t>
  </si>
  <si>
    <t>Radachse vor vorderstem Schwerpunkt</t>
  </si>
  <si>
    <t>Speichenräder Indoor 60 x 12 (2)</t>
  </si>
  <si>
    <t>Fahrwerk CFK Meizlik, &amp; Achsen</t>
  </si>
  <si>
    <t>Fahrwerk und Räder (SP)</t>
  </si>
  <si>
    <t>Spinner Tru-Turn 2" Turbo Cool, mit Spannzange</t>
  </si>
  <si>
    <t>Spinner Tru-Turn 2 1/4" Turbo Cool, mit Spannzange</t>
  </si>
  <si>
    <t>ünter Mitte</t>
  </si>
  <si>
    <r>
      <t xml:space="preserve">Rollkräfte nach unten.  </t>
    </r>
    <r>
      <rPr>
        <sz val="10"/>
        <rFont val="Arial"/>
        <family val="2"/>
      </rPr>
      <t>Datum: Mittellinie Rumpf - innerer Randbogen</t>
    </r>
  </si>
  <si>
    <t>Flächeninhalt Seitensteuer, ohne Anteil Rumpf. qdm</t>
  </si>
  <si>
    <t>Hebelarm am Höhenruder 3</t>
  </si>
  <si>
    <t>Fiat</t>
  </si>
  <si>
    <t>Mittlere Dicke cm</t>
  </si>
  <si>
    <t>Spannweite cm</t>
  </si>
  <si>
    <t>cw Profil</t>
  </si>
  <si>
    <t>Stirnwiderstand Tragfläche</t>
  </si>
  <si>
    <t>Luftwiderstand in N</t>
  </si>
  <si>
    <t>v Geschwindigkeit m/s</t>
  </si>
  <si>
    <t>A  Stirnfläche  in qm</t>
  </si>
  <si>
    <t>p Luftdichte  1.2</t>
  </si>
  <si>
    <t>cw  0.1 - 1</t>
  </si>
  <si>
    <t xml:space="preserve">0.5 * cw * A * p * (v * v) </t>
  </si>
  <si>
    <t>Gramm = N</t>
  </si>
  <si>
    <t>Widerstand N</t>
  </si>
  <si>
    <t>Stirnwiderstand Höhenleitwerk</t>
  </si>
  <si>
    <t>cw Rad</t>
  </si>
  <si>
    <t>cw Draht</t>
  </si>
  <si>
    <t>Widerstand Höhenleitwerk (Gr.)</t>
  </si>
  <si>
    <t>Widerstand Tragfläche (Gr)</t>
  </si>
  <si>
    <t>Siebenmann 310 Gr.</t>
  </si>
  <si>
    <r>
      <t xml:space="preserve">Widerstand Höhenleitwerk </t>
    </r>
    <r>
      <rPr>
        <u/>
        <sz val="10"/>
        <rFont val="Arial"/>
        <family val="2"/>
      </rPr>
      <t xml:space="preserve">über </t>
    </r>
    <r>
      <rPr>
        <sz val="10"/>
        <rFont val="Arial"/>
        <family val="2"/>
      </rPr>
      <t>Flügel</t>
    </r>
  </si>
  <si>
    <r>
      <t xml:space="preserve">Benötigter Auftrieb Leitwerk </t>
    </r>
    <r>
      <rPr>
        <b/>
        <sz val="10"/>
        <rFont val="Arial"/>
        <family val="2"/>
      </rPr>
      <t>durch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Anstellwinkel Stabilo n. unten</t>
    </r>
  </si>
  <si>
    <t>Schwerpunkt</t>
  </si>
  <si>
    <t>Hilfsholm Stab., Balsa/Carbon 4 x 4 x 790</t>
  </si>
  <si>
    <t>Capstrips</t>
  </si>
  <si>
    <t>Rippen Stabilo 2 mm</t>
  </si>
  <si>
    <t>Nasenholm Stabilo 10 x 10 x 380</t>
  </si>
  <si>
    <t>Beplankung Stabilo Mitte 1.5 mm</t>
  </si>
  <si>
    <t>Beplankung Stabilo Endholm 1.5 mm</t>
  </si>
  <si>
    <t>Kabelführung 3 mm light ply</t>
  </si>
  <si>
    <t xml:space="preserve">Endholm 3 x 7 x 750 </t>
  </si>
  <si>
    <t xml:space="preserve">Horn Klappen 3 mm </t>
  </si>
  <si>
    <t>Beplankung Stabilo Nasenholm 1.5 mm</t>
  </si>
  <si>
    <t>Endh. Stabilo 7 x 3 Balsa/Carbon</t>
  </si>
  <si>
    <t>Rippe 13 mit Kabelführung</t>
  </si>
  <si>
    <t>Hilfsholme hinten, Balsa + CFK 4 x 4 x 1500</t>
  </si>
  <si>
    <t>Nasenholm 8 x 30 x 750</t>
  </si>
  <si>
    <t>Segmentträger, light ply 3 mm</t>
  </si>
  <si>
    <t>Hilfsholm Nase 3 x 5 x 750</t>
  </si>
  <si>
    <t xml:space="preserve">Vertikale Verst. Hauptholm 1.5 mm </t>
  </si>
  <si>
    <t xml:space="preserve">Nasenholm HR </t>
  </si>
  <si>
    <t>Endholm HR</t>
  </si>
  <si>
    <t>Datum: Nasenholm Stabilo Mitte</t>
  </si>
  <si>
    <t>Gitterrahmen HR 4 mm x 600 mm</t>
  </si>
  <si>
    <t>Endholm 4 mm x 720</t>
  </si>
  <si>
    <t>Nasenholm 4 mm x 720</t>
  </si>
  <si>
    <t xml:space="preserve">Gitterrahmen 4 x 1000 mm </t>
  </si>
  <si>
    <t>Scharnier 16 x 32 mm (MP Jet)</t>
  </si>
  <si>
    <t>Seitenwand 3 mm + CFK</t>
  </si>
  <si>
    <t>Kopfspant Motor 6 mm</t>
  </si>
  <si>
    <t>Träger Batterieschlitten inkl. Torsionskörper</t>
  </si>
  <si>
    <t>Spanten</t>
  </si>
  <si>
    <t>Boden unten</t>
  </si>
  <si>
    <t>Block unten vorne, mit Deckel Regler</t>
  </si>
  <si>
    <t>Batteriedeckel, mit Riegel</t>
  </si>
  <si>
    <t>Anschlussblock hinter Flapsdeckel</t>
  </si>
  <si>
    <t>Heckfahrwerk 1.5 mm, inkl. Rad</t>
  </si>
  <si>
    <t xml:space="preserve">Schubstange Seitenruder </t>
  </si>
  <si>
    <t>Trimmgewichte und Diverses</t>
  </si>
  <si>
    <t>Deckel Flaps, mit Kabine</t>
  </si>
  <si>
    <t>Attrappe Auspuff</t>
  </si>
  <si>
    <t>Flächeninhalt, inkl. Ruder</t>
  </si>
  <si>
    <t>Rückplatte Spinner bis SP Batterie Vorn</t>
  </si>
  <si>
    <t>Rückplatte Spinner bis SP Batterie Mitte</t>
  </si>
  <si>
    <t>Rückplatte Spinner bis SP Batterie Hinten</t>
  </si>
  <si>
    <t>Achse HL über Achse Tragfläche, mm</t>
  </si>
  <si>
    <t>2-k Decklack, klar, 20% verd.</t>
  </si>
  <si>
    <t xml:space="preserve">Aerodyn. Ausgleich für die Summe der Störkräfte </t>
  </si>
  <si>
    <t>Roll nach Innen</t>
  </si>
  <si>
    <t>Propeller Yatsenko 13.4 x 6 P</t>
  </si>
  <si>
    <t>Motor AXI 2826/12  760</t>
  </si>
  <si>
    <t>Motor AXI 2826/13 710</t>
  </si>
  <si>
    <t>Batterie Fullymax 80C 5S 2600 mAh, mit Stecker</t>
  </si>
  <si>
    <t>Batterie Fullymax 5S 2600 80C mit Schlitten</t>
  </si>
  <si>
    <t xml:space="preserve">Propeller APC 12 x 6.5  WEP </t>
  </si>
  <si>
    <t>Propeller APC 12 x 6 EP</t>
  </si>
  <si>
    <t>0.73 pound  (453 Gr.)</t>
  </si>
  <si>
    <t>Gesamtwiderstand Line Rake Calc (Gramm)</t>
  </si>
  <si>
    <t>0.35 pound</t>
  </si>
  <si>
    <t>0.38 pound</t>
  </si>
  <si>
    <t>Widerstand Leinen Line Rake Calc (Gramm)</t>
  </si>
  <si>
    <t>Widerstand Flugzeug Line Rake Calc (Gramm)</t>
  </si>
  <si>
    <t>1 pound = 453 Gr.</t>
  </si>
  <si>
    <t>0.4 x 19.5 (0.35 pound (453 Gr))</t>
  </si>
  <si>
    <t>Jet-Räder, Foam, eflight 58 x 10 mm. (2)</t>
  </si>
  <si>
    <t>Räder Graupner AIR-UL 55 x 22 mm (2)</t>
  </si>
  <si>
    <t>Propeller APC 13 x 6.5 EP, cut to 12"</t>
  </si>
  <si>
    <t>Propeller Fiala E3 13 x 6 P</t>
  </si>
  <si>
    <t>130 x 38 breit x 35 hoch</t>
  </si>
  <si>
    <t>Y-Kabel für 2 Fahrwerk-Servos</t>
  </si>
  <si>
    <r>
      <t xml:space="preserve">Max Bee = </t>
    </r>
    <r>
      <rPr>
        <u/>
        <sz val="10"/>
        <rFont val="Arial"/>
        <family val="2"/>
      </rPr>
      <t>über</t>
    </r>
    <r>
      <rPr>
        <sz val="10"/>
        <rFont val="Arial"/>
        <family val="2"/>
      </rPr>
      <t xml:space="preserve"> Mitte</t>
    </r>
  </si>
  <si>
    <r>
      <t xml:space="preserve">Zugachse Motor </t>
    </r>
    <r>
      <rPr>
        <u/>
        <sz val="10"/>
        <rFont val="Arial"/>
        <family val="2"/>
      </rPr>
      <t>unter</t>
    </r>
    <r>
      <rPr>
        <sz val="10"/>
        <rFont val="Arial"/>
        <family val="2"/>
      </rPr>
      <t xml:space="preserve"> Profilmitte Flügel</t>
    </r>
  </si>
  <si>
    <r>
      <t xml:space="preserve">Achse Höhenruder </t>
    </r>
    <r>
      <rPr>
        <u/>
        <sz val="10"/>
        <rFont val="Arial"/>
        <family val="2"/>
      </rPr>
      <t>über</t>
    </r>
    <r>
      <rPr>
        <sz val="10"/>
        <rFont val="Arial"/>
        <family val="2"/>
      </rPr>
      <t xml:space="preserve"> Profilmitte Flügel</t>
    </r>
  </si>
  <si>
    <t>Vorlaufwinkel Fahrwerk (Radachse - SP max. vorn), in Grad</t>
  </si>
  <si>
    <t>Zusammenfassung</t>
  </si>
  <si>
    <t>54 mm</t>
  </si>
  <si>
    <t>Fiat C. 29</t>
  </si>
  <si>
    <r>
      <t>Diese Tabellen erlauben die Berechnung von Gewicht und Schwerpunktlage durch Eingabe von Gewichten einzelner Bauteile und deren Abstand von einem Nullpunkt (</t>
    </r>
    <r>
      <rPr>
        <b/>
        <sz val="10"/>
        <rFont val="Arial"/>
        <family val="2"/>
      </rPr>
      <t>Datum)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Daten nur in gelbe Felder eingeben</t>
    </r>
    <r>
      <rPr>
        <sz val="10"/>
        <rFont val="Arial"/>
        <family val="2"/>
      </rPr>
      <t>. Rote Schrift in grünen Feldern sind Resultate der Berechnungen, diese Felder dürfen nicht überschrieben werden. Basis ist das Modell Max Bee 2012 von Igor Burger</t>
    </r>
    <r>
      <rPr>
        <b/>
        <sz val="10"/>
        <rFont val="Arial"/>
        <family val="2"/>
      </rPr>
      <t xml:space="preserve">, </t>
    </r>
    <r>
      <rPr>
        <u/>
        <sz val="10"/>
        <color rgb="FFFF0000"/>
        <rFont val="Arial"/>
        <family val="2"/>
      </rPr>
      <t>modifiziert für den elektrischen Betrieb mit Pusher Propellern von 12 - 13 Zoll Durchmesser</t>
    </r>
    <r>
      <rPr>
        <sz val="10"/>
        <rFont val="Arial"/>
        <family val="2"/>
      </rPr>
      <t xml:space="preserve">. Dynamische Kräfte berechnet durch Wolfgang Nieuwkamp. Die Werte zu Höhenversatz und Einstellwinkel von Antrieb und und Höhenleitwerk, sowie zur Funktion des Seitenruders, sind für Antriebe mit Zugpropellern </t>
    </r>
    <r>
      <rPr>
        <sz val="10"/>
        <color rgb="FFFF0000"/>
        <rFont val="Arial"/>
        <family val="2"/>
      </rPr>
      <t xml:space="preserve">nicht </t>
    </r>
    <r>
      <rPr>
        <sz val="10"/>
        <rFont val="Arial"/>
        <family val="2"/>
      </rPr>
      <t>anwendbar.</t>
    </r>
  </si>
  <si>
    <t>Hauptfahrwerk-Strebe Stahl 3.2 mm, mit Rad 50x20 mm</t>
  </si>
  <si>
    <t>Basislacke</t>
  </si>
  <si>
    <t>Basislacke und 2 k-Klarlack</t>
  </si>
  <si>
    <t>Propeller APC 13 x 5.5 EP</t>
  </si>
  <si>
    <t>Propeller APC 13 x 4.5 EP</t>
  </si>
  <si>
    <t>C.29 an 19.5 m X 0.4 mm  bei 5.25 sec/Runde:</t>
  </si>
  <si>
    <t>Pound Force</t>
  </si>
  <si>
    <t>Newton</t>
  </si>
  <si>
    <t>Gesamt:</t>
  </si>
  <si>
    <t>Zelle</t>
  </si>
  <si>
    <t>177 Gr.</t>
  </si>
  <si>
    <t>Leinen</t>
  </si>
  <si>
    <t>158 Gr.</t>
  </si>
  <si>
    <t>335 Gramm</t>
  </si>
  <si>
    <t>55°</t>
  </si>
  <si>
    <t>40°</t>
  </si>
  <si>
    <t>33°</t>
  </si>
  <si>
    <t>Batterieverschiebung  = SP +/- 5 mm</t>
  </si>
  <si>
    <t>17°</t>
  </si>
  <si>
    <t>Seitenruder-Ausschlag bei 0° Höhenruder</t>
  </si>
  <si>
    <t>10°</t>
  </si>
  <si>
    <t>plus/minus 25 mm</t>
  </si>
  <si>
    <t>Fiala EP 13 x 6  9'400 U/Min, 5.15 sec/Runde</t>
  </si>
  <si>
    <t>MAC</t>
  </si>
  <si>
    <t>Klappentiefe MAC</t>
  </si>
  <si>
    <t>Schwerpunkt MAC</t>
  </si>
  <si>
    <t>SP Batt max vorn:150    Mitte: 175   max hinten:200</t>
  </si>
  <si>
    <r>
      <t>Arm Batterie 150 -</t>
    </r>
    <r>
      <rPr>
        <b/>
        <sz val="10"/>
        <color rgb="FFFF0000"/>
        <rFont val="Arial"/>
        <family val="2"/>
      </rPr>
      <t>175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- 200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</si>
</sst>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0.0"/>
    <numFmt numFmtId="165" formatCode="0.0%"/>
    <numFmt numFmtId="166" formatCode="dd/mm/yy;@"/>
    <numFmt numFmtId="167" formatCode="d/mm/yy;@"/>
    <numFmt numFmtId="168" formatCode="dd/mm/yyyy;@"/>
    <numFmt numFmtId="169" formatCode="#,##0.000"/>
    <numFmt numFmtId="170" formatCode="#,##0.0"/>
    <numFmt numFmtId="171" formatCode="0.000"/>
    <numFmt numFmtId="172" formatCode="0_ ;[Red]\-0\ "/>
    <numFmt numFmtId="173" formatCode="0.0000000000"/>
    <numFmt numFmtId="174" formatCode="0.0000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sz val="10"/>
      <color indexed="5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theme="8" tint="-0.249977111117893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u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615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3" fillId="0" borderId="0" xfId="0" applyFont="1"/>
    <xf numFmtId="1" fontId="0" fillId="0" borderId="0" xfId="0" applyNumberFormat="1"/>
    <xf numFmtId="0" fontId="2" fillId="0" borderId="0" xfId="0" applyFont="1" applyFill="1" applyBorder="1"/>
    <xf numFmtId="0" fontId="0" fillId="0" borderId="0" xfId="0" applyFill="1" applyBorder="1"/>
    <xf numFmtId="169" fontId="0" fillId="0" borderId="0" xfId="0" applyNumberFormat="1" applyBorder="1" applyAlignment="1">
      <alignment horizontal="center"/>
    </xf>
    <xf numFmtId="170" fontId="0" fillId="0" borderId="0" xfId="0" applyNumberFormat="1" applyBorder="1"/>
    <xf numFmtId="4" fontId="0" fillId="0" borderId="0" xfId="0" applyNumberFormat="1" applyBorder="1"/>
    <xf numFmtId="0" fontId="2" fillId="0" borderId="0" xfId="0" applyFont="1" applyFill="1" applyBorder="1" applyAlignment="1">
      <alignment horizontal="right" wrapText="1"/>
    </xf>
    <xf numFmtId="1" fontId="2" fillId="0" borderId="0" xfId="0" applyNumberFormat="1" applyFont="1"/>
    <xf numFmtId="0" fontId="2" fillId="0" borderId="0" xfId="0" applyFont="1" applyAlignment="1">
      <alignment horizontal="right" wrapText="1"/>
    </xf>
    <xf numFmtId="169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wrapText="1"/>
    </xf>
    <xf numFmtId="170" fontId="2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2" fontId="2" fillId="0" borderId="0" xfId="0" applyNumberFormat="1" applyFont="1"/>
    <xf numFmtId="164" fontId="2" fillId="0" borderId="0" xfId="0" applyNumberFormat="1" applyFont="1"/>
    <xf numFmtId="2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9" fillId="0" borderId="0" xfId="0" applyFont="1"/>
    <xf numFmtId="0" fontId="2" fillId="0" borderId="0" xfId="0" applyFont="1" applyFill="1"/>
    <xf numFmtId="0" fontId="8" fillId="0" borderId="0" xfId="0" applyFont="1"/>
    <xf numFmtId="0" fontId="10" fillId="0" borderId="0" xfId="0" applyFont="1"/>
    <xf numFmtId="1" fontId="5" fillId="0" borderId="0" xfId="0" applyNumberFormat="1" applyFont="1"/>
    <xf numFmtId="164" fontId="4" fillId="0" borderId="0" xfId="0" applyNumberFormat="1" applyFont="1"/>
    <xf numFmtId="0" fontId="7" fillId="0" borderId="0" xfId="0" applyFont="1"/>
    <xf numFmtId="1" fontId="4" fillId="0" borderId="0" xfId="0" applyNumberFormat="1" applyFont="1"/>
    <xf numFmtId="164" fontId="0" fillId="0" borderId="0" xfId="0" applyNumberFormat="1"/>
    <xf numFmtId="1" fontId="7" fillId="0" borderId="0" xfId="0" applyNumberFormat="1" applyFont="1"/>
    <xf numFmtId="164" fontId="0" fillId="0" borderId="0" xfId="0" applyNumberFormat="1" applyAlignment="1">
      <alignment wrapText="1"/>
    </xf>
    <xf numFmtId="15" fontId="0" fillId="0" borderId="0" xfId="0" applyNumberFormat="1"/>
    <xf numFmtId="0" fontId="0" fillId="0" borderId="1" xfId="0" applyBorder="1"/>
    <xf numFmtId="0" fontId="8" fillId="0" borderId="1" xfId="0" applyFont="1" applyBorder="1"/>
    <xf numFmtId="0" fontId="11" fillId="0" borderId="0" xfId="0" applyFont="1"/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0" fontId="13" fillId="0" borderId="1" xfId="0" applyFont="1" applyBorder="1" applyAlignment="1">
      <alignment wrapText="1"/>
    </xf>
    <xf numFmtId="2" fontId="13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1" fontId="11" fillId="0" borderId="1" xfId="0" applyNumberFormat="1" applyFont="1" applyBorder="1"/>
    <xf numFmtId="1" fontId="11" fillId="0" borderId="2" xfId="0" applyNumberFormat="1" applyFont="1" applyBorder="1"/>
    <xf numFmtId="0" fontId="11" fillId="0" borderId="3" xfId="0" applyFont="1" applyBorder="1"/>
    <xf numFmtId="2" fontId="13" fillId="0" borderId="0" xfId="0" applyNumberFormat="1" applyFont="1"/>
    <xf numFmtId="0" fontId="11" fillId="0" borderId="1" xfId="0" applyFont="1" applyFill="1" applyBorder="1"/>
    <xf numFmtId="0" fontId="13" fillId="0" borderId="1" xfId="0" applyFont="1" applyBorder="1" applyAlignment="1">
      <alignment horizontal="right"/>
    </xf>
    <xf numFmtId="164" fontId="13" fillId="0" borderId="0" xfId="0" applyNumberFormat="1" applyFont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1" fontId="11" fillId="0" borderId="3" xfId="0" applyNumberFormat="1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8" fillId="2" borderId="1" xfId="0" applyFont="1" applyFill="1" applyBorder="1"/>
    <xf numFmtId="0" fontId="8" fillId="0" borderId="1" xfId="0" applyFont="1" applyFill="1" applyBorder="1"/>
    <xf numFmtId="0" fontId="11" fillId="3" borderId="1" xfId="0" applyFont="1" applyFill="1" applyBorder="1"/>
    <xf numFmtId="164" fontId="11" fillId="0" borderId="1" xfId="0" applyNumberFormat="1" applyFont="1" applyFill="1" applyBorder="1"/>
    <xf numFmtId="0" fontId="12" fillId="0" borderId="4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" fontId="7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164" fontId="2" fillId="2" borderId="1" xfId="0" applyNumberFormat="1" applyFont="1" applyFill="1" applyBorder="1"/>
    <xf numFmtId="164" fontId="4" fillId="0" borderId="1" xfId="0" applyNumberFormat="1" applyFont="1" applyBorder="1"/>
    <xf numFmtId="1" fontId="0" fillId="0" borderId="1" xfId="0" applyNumberFormat="1" applyBorder="1"/>
    <xf numFmtId="1" fontId="2" fillId="0" borderId="1" xfId="0" applyNumberFormat="1" applyFont="1" applyFill="1" applyBorder="1"/>
    <xf numFmtId="0" fontId="2" fillId="0" borderId="1" xfId="0" applyFont="1" applyBorder="1" applyAlignment="1">
      <alignment horizontal="right"/>
    </xf>
    <xf numFmtId="164" fontId="0" fillId="0" borderId="1" xfId="0" applyNumberFormat="1" applyBorder="1"/>
    <xf numFmtId="0" fontId="7" fillId="0" borderId="1" xfId="0" applyFont="1" applyBorder="1"/>
    <xf numFmtId="0" fontId="6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8" fillId="0" borderId="0" xfId="0" applyFont="1" applyBorder="1"/>
    <xf numFmtId="0" fontId="0" fillId="0" borderId="3" xfId="0" applyBorder="1"/>
    <xf numFmtId="1" fontId="2" fillId="0" borderId="3" xfId="0" applyNumberFormat="1" applyFont="1" applyFill="1" applyBorder="1"/>
    <xf numFmtId="164" fontId="0" fillId="0" borderId="1" xfId="0" applyNumberFormat="1" applyBorder="1" applyAlignment="1">
      <alignment wrapText="1"/>
    </xf>
    <xf numFmtId="164" fontId="7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5" fillId="4" borderId="1" xfId="0" applyNumberFormat="1" applyFont="1" applyFill="1" applyBorder="1"/>
    <xf numFmtId="0" fontId="11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164" fontId="0" fillId="2" borderId="1" xfId="0" applyNumberFormat="1" applyFill="1" applyBorder="1"/>
    <xf numFmtId="1" fontId="11" fillId="0" borderId="0" xfId="0" applyNumberFormat="1" applyFont="1" applyFill="1" applyBorder="1"/>
    <xf numFmtId="1" fontId="13" fillId="0" borderId="0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171" fontId="0" fillId="3" borderId="1" xfId="0" applyNumberFormat="1" applyFill="1" applyBorder="1" applyAlignment="1">
      <alignment horizontal="center"/>
    </xf>
    <xf numFmtId="0" fontId="11" fillId="5" borderId="1" xfId="0" applyFont="1" applyFill="1" applyBorder="1"/>
    <xf numFmtId="0" fontId="0" fillId="0" borderId="1" xfId="0" applyBorder="1" applyAlignment="1">
      <alignment horizontal="right"/>
    </xf>
    <xf numFmtId="0" fontId="10" fillId="4" borderId="1" xfId="0" applyFont="1" applyFill="1" applyBorder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15" fontId="11" fillId="0" borderId="0" xfId="0" applyNumberFormat="1" applyFont="1"/>
    <xf numFmtId="1" fontId="5" fillId="0" borderId="1" xfId="0" applyNumberFormat="1" applyFont="1" applyFill="1" applyBorder="1"/>
    <xf numFmtId="0" fontId="7" fillId="0" borderId="0" xfId="0" applyFont="1" applyBorder="1"/>
    <xf numFmtId="15" fontId="0" fillId="0" borderId="0" xfId="0" applyNumberFormat="1" applyFill="1"/>
    <xf numFmtId="0" fontId="2" fillId="0" borderId="3" xfId="0" applyFont="1" applyBorder="1"/>
    <xf numFmtId="0" fontId="13" fillId="0" borderId="3" xfId="0" applyFont="1" applyBorder="1"/>
    <xf numFmtId="168" fontId="2" fillId="0" borderId="11" xfId="0" applyNumberFormat="1" applyFont="1" applyBorder="1" applyAlignment="1">
      <alignment horizontal="left"/>
    </xf>
    <xf numFmtId="0" fontId="0" fillId="3" borderId="1" xfId="0" applyFill="1" applyBorder="1" applyAlignment="1"/>
    <xf numFmtId="0" fontId="2" fillId="0" borderId="0" xfId="0" applyFont="1" applyAlignment="1">
      <alignment horizontal="left"/>
    </xf>
    <xf numFmtId="1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168" fontId="2" fillId="0" borderId="0" xfId="0" applyNumberFormat="1" applyFont="1" applyFill="1" applyBorder="1"/>
    <xf numFmtId="164" fontId="10" fillId="0" borderId="1" xfId="0" applyNumberFormat="1" applyFont="1" applyFill="1" applyBorder="1"/>
    <xf numFmtId="0" fontId="0" fillId="3" borderId="1" xfId="0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164" fontId="6" fillId="0" borderId="1" xfId="0" applyNumberFormat="1" applyFont="1" applyFill="1" applyBorder="1"/>
    <xf numFmtId="0" fontId="2" fillId="0" borderId="3" xfId="0" applyFont="1" applyBorder="1" applyAlignment="1">
      <alignment horizontal="left" wrapText="1"/>
    </xf>
    <xf numFmtId="167" fontId="2" fillId="0" borderId="1" xfId="0" applyNumberFormat="1" applyFont="1" applyBorder="1" applyAlignment="1">
      <alignment horizontal="right"/>
    </xf>
    <xf numFmtId="168" fontId="2" fillId="0" borderId="11" xfId="0" applyNumberFormat="1" applyFont="1" applyFill="1" applyBorder="1"/>
    <xf numFmtId="166" fontId="0" fillId="0" borderId="1" xfId="0" applyNumberFormat="1" applyBorder="1"/>
    <xf numFmtId="168" fontId="8" fillId="0" borderId="11" xfId="0" applyNumberFormat="1" applyFont="1" applyFill="1" applyBorder="1"/>
    <xf numFmtId="166" fontId="2" fillId="0" borderId="1" xfId="0" applyNumberFormat="1" applyFont="1" applyBorder="1" applyAlignment="1">
      <alignment horizontal="right"/>
    </xf>
    <xf numFmtId="168" fontId="13" fillId="0" borderId="11" xfId="0" applyNumberFormat="1" applyFont="1" applyFill="1" applyBorder="1"/>
    <xf numFmtId="166" fontId="13" fillId="0" borderId="1" xfId="0" applyNumberFormat="1" applyFont="1" applyBorder="1"/>
    <xf numFmtId="0" fontId="0" fillId="0" borderId="12" xfId="0" applyFill="1" applyBorder="1"/>
    <xf numFmtId="0" fontId="0" fillId="3" borderId="1" xfId="0" applyFill="1" applyBorder="1" applyAlignment="1">
      <alignment horizontal="center"/>
    </xf>
    <xf numFmtId="0" fontId="11" fillId="0" borderId="1" xfId="0" applyFont="1" applyBorder="1" applyAlignment="1"/>
    <xf numFmtId="0" fontId="19" fillId="0" borderId="0" xfId="0" applyFont="1"/>
    <xf numFmtId="0" fontId="3" fillId="3" borderId="1" xfId="0" applyFont="1" applyFill="1" applyBorder="1"/>
    <xf numFmtId="49" fontId="0" fillId="0" borderId="14" xfId="0" applyNumberFormat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4" fillId="0" borderId="1" xfId="0" applyFont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7" fillId="0" borderId="15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" fontId="13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16" fillId="0" borderId="1" xfId="0" applyFont="1" applyFill="1" applyBorder="1"/>
    <xf numFmtId="0" fontId="22" fillId="0" borderId="0" xfId="0" applyFont="1"/>
    <xf numFmtId="0" fontId="20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0" fontId="0" fillId="3" borderId="1" xfId="0" applyFill="1" applyBorder="1" applyAlignment="1">
      <alignment horizontal="right"/>
    </xf>
    <xf numFmtId="0" fontId="7" fillId="0" borderId="1" xfId="0" applyFont="1" applyFill="1" applyBorder="1"/>
    <xf numFmtId="0" fontId="4" fillId="0" borderId="10" xfId="0" applyFont="1" applyBorder="1"/>
    <xf numFmtId="164" fontId="4" fillId="0" borderId="3" xfId="0" applyNumberFormat="1" applyFont="1" applyFill="1" applyBorder="1"/>
    <xf numFmtId="164" fontId="4" fillId="0" borderId="0" xfId="0" applyNumberFormat="1" applyFont="1" applyBorder="1"/>
    <xf numFmtId="49" fontId="4" fillId="0" borderId="0" xfId="0" applyNumberFormat="1" applyFont="1" applyAlignment="1">
      <alignment horizontal="center" vertical="top" wrapText="1"/>
    </xf>
    <xf numFmtId="1" fontId="4" fillId="2" borderId="1" xfId="0" applyNumberFormat="1" applyFont="1" applyFill="1" applyBorder="1"/>
    <xf numFmtId="1" fontId="23" fillId="7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18" fillId="0" borderId="0" xfId="0" applyFont="1" applyBorder="1"/>
    <xf numFmtId="1" fontId="4" fillId="0" borderId="1" xfId="0" applyNumberFormat="1" applyFont="1" applyFill="1" applyBorder="1"/>
    <xf numFmtId="164" fontId="0" fillId="0" borderId="0" xfId="0" applyNumberFormat="1" applyBorder="1" applyAlignment="1">
      <alignment horizontal="center"/>
    </xf>
    <xf numFmtId="1" fontId="0" fillId="0" borderId="1" xfId="0" applyNumberFormat="1" applyFill="1" applyBorder="1"/>
    <xf numFmtId="1" fontId="0" fillId="0" borderId="0" xfId="0" applyNumberForma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1" fillId="9" borderId="1" xfId="0" applyFont="1" applyFill="1" applyBorder="1"/>
    <xf numFmtId="0" fontId="0" fillId="10" borderId="1" xfId="0" applyFill="1" applyBorder="1"/>
    <xf numFmtId="1" fontId="24" fillId="7" borderId="1" xfId="0" applyNumberFormat="1" applyFont="1" applyFill="1" applyBorder="1"/>
    <xf numFmtId="0" fontId="25" fillId="11" borderId="1" xfId="0" applyFont="1" applyFill="1" applyBorder="1"/>
    <xf numFmtId="164" fontId="21" fillId="11" borderId="1" xfId="0" applyNumberFormat="1" applyFont="1" applyFill="1" applyBorder="1"/>
    <xf numFmtId="164" fontId="25" fillId="9" borderId="1" xfId="0" applyNumberFormat="1" applyFont="1" applyFill="1" applyBorder="1" applyAlignment="1">
      <alignment horizontal="center"/>
    </xf>
    <xf numFmtId="0" fontId="21" fillId="9" borderId="1" xfId="0" applyFont="1" applyFill="1" applyBorder="1"/>
    <xf numFmtId="0" fontId="25" fillId="9" borderId="1" xfId="0" applyFont="1" applyFill="1" applyBorder="1"/>
    <xf numFmtId="1" fontId="25" fillId="9" borderId="1" xfId="0" applyNumberFormat="1" applyFont="1" applyFill="1" applyBorder="1"/>
    <xf numFmtId="1" fontId="21" fillId="9" borderId="1" xfId="0" applyNumberFormat="1" applyFont="1" applyFill="1" applyBorder="1"/>
    <xf numFmtId="0" fontId="0" fillId="0" borderId="3" xfId="0" applyBorder="1" applyAlignment="1">
      <alignment horizontal="center" wrapText="1"/>
    </xf>
    <xf numFmtId="164" fontId="2" fillId="0" borderId="1" xfId="0" applyNumberFormat="1" applyFont="1" applyFill="1" applyBorder="1"/>
    <xf numFmtId="1" fontId="4" fillId="0" borderId="1" xfId="0" applyNumberFormat="1" applyFont="1" applyBorder="1"/>
    <xf numFmtId="164" fontId="24" fillId="7" borderId="1" xfId="0" applyNumberFormat="1" applyFont="1" applyFill="1" applyBorder="1"/>
    <xf numFmtId="0" fontId="21" fillId="11" borderId="1" xfId="0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1" fontId="7" fillId="0" borderId="1" xfId="0" applyNumberFormat="1" applyFont="1" applyBorder="1" applyAlignment="1">
      <alignment horizontal="right" wrapText="1"/>
    </xf>
    <xf numFmtId="164" fontId="26" fillId="0" borderId="0" xfId="0" applyNumberFormat="1" applyFont="1"/>
    <xf numFmtId="164" fontId="21" fillId="13" borderId="1" xfId="0" applyNumberFormat="1" applyFont="1" applyFill="1" applyBorder="1"/>
    <xf numFmtId="0" fontId="25" fillId="10" borderId="1" xfId="0" applyFont="1" applyFill="1" applyBorder="1" applyAlignment="1">
      <alignment horizontal="right"/>
    </xf>
    <xf numFmtId="164" fontId="21" fillId="10" borderId="1" xfId="0" applyNumberFormat="1" applyFont="1" applyFill="1" applyBorder="1"/>
    <xf numFmtId="164" fontId="24" fillId="7" borderId="1" xfId="0" applyNumberFormat="1" applyFont="1" applyFill="1" applyBorder="1" applyAlignment="1">
      <alignment horizontal="right"/>
    </xf>
    <xf numFmtId="0" fontId="24" fillId="7" borderId="1" xfId="0" applyFont="1" applyFill="1" applyBorder="1"/>
    <xf numFmtId="1" fontId="21" fillId="16" borderId="1" xfId="0" applyNumberFormat="1" applyFont="1" applyFill="1" applyBorder="1"/>
    <xf numFmtId="1" fontId="25" fillId="16" borderId="1" xfId="0" applyNumberFormat="1" applyFont="1" applyFill="1" applyBorder="1"/>
    <xf numFmtId="0" fontId="28" fillId="0" borderId="1" xfId="0" applyFont="1" applyFill="1" applyBorder="1"/>
    <xf numFmtId="0" fontId="19" fillId="0" borderId="0" xfId="0" applyFont="1" applyFill="1"/>
    <xf numFmtId="1" fontId="7" fillId="16" borderId="1" xfId="0" applyNumberFormat="1" applyFont="1" applyFill="1" applyBorder="1"/>
    <xf numFmtId="14" fontId="0" fillId="0" borderId="0" xfId="0" applyNumberFormat="1" applyFill="1"/>
    <xf numFmtId="0" fontId="11" fillId="17" borderId="1" xfId="0" applyFont="1" applyFill="1" applyBorder="1"/>
    <xf numFmtId="168" fontId="2" fillId="18" borderId="11" xfId="0" applyNumberFormat="1" applyFont="1" applyFill="1" applyBorder="1"/>
    <xf numFmtId="0" fontId="8" fillId="18" borderId="1" xfId="0" applyFont="1" applyFill="1" applyBorder="1"/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29" fillId="0" borderId="0" xfId="2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" fontId="0" fillId="0" borderId="0" xfId="0" applyNumberFormat="1" applyBorder="1"/>
    <xf numFmtId="0" fontId="4" fillId="0" borderId="0" xfId="0" applyFont="1" applyBorder="1" applyAlignment="1">
      <alignment wrapText="1"/>
    </xf>
    <xf numFmtId="1" fontId="24" fillId="0" borderId="0" xfId="0" applyNumberFormat="1" applyFont="1" applyFill="1" applyBorder="1"/>
    <xf numFmtId="1" fontId="4" fillId="20" borderId="1" xfId="0" applyNumberFormat="1" applyFont="1" applyFill="1" applyBorder="1"/>
    <xf numFmtId="0" fontId="4" fillId="20" borderId="1" xfId="0" applyFont="1" applyFill="1" applyBorder="1"/>
    <xf numFmtId="0" fontId="4" fillId="3" borderId="12" xfId="0" applyFont="1" applyFill="1" applyBorder="1" applyAlignment="1">
      <alignment horizontal="center"/>
    </xf>
    <xf numFmtId="0" fontId="31" fillId="0" borderId="1" xfId="0" applyFont="1" applyBorder="1"/>
    <xf numFmtId="0" fontId="0" fillId="21" borderId="1" xfId="0" applyFill="1" applyBorder="1" applyAlignment="1">
      <alignment horizontal="center"/>
    </xf>
    <xf numFmtId="1" fontId="4" fillId="12" borderId="1" xfId="0" applyNumberFormat="1" applyFont="1" applyFill="1" applyBorder="1"/>
    <xf numFmtId="2" fontId="4" fillId="12" borderId="1" xfId="0" applyNumberFormat="1" applyFont="1" applyFill="1" applyBorder="1"/>
    <xf numFmtId="0" fontId="4" fillId="12" borderId="1" xfId="0" applyFont="1" applyFill="1" applyBorder="1"/>
    <xf numFmtId="0" fontId="4" fillId="2" borderId="1" xfId="0" applyFont="1" applyFill="1" applyBorder="1"/>
    <xf numFmtId="164" fontId="4" fillId="12" borderId="1" xfId="0" applyNumberFormat="1" applyFont="1" applyFill="1" applyBorder="1" applyAlignment="1">
      <alignment horizontal="right"/>
    </xf>
    <xf numFmtId="0" fontId="4" fillId="8" borderId="1" xfId="0" applyFont="1" applyFill="1" applyBorder="1"/>
    <xf numFmtId="164" fontId="6" fillId="7" borderId="1" xfId="0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1" fontId="21" fillId="20" borderId="1" xfId="0" applyNumberFormat="1" applyFont="1" applyFill="1" applyBorder="1"/>
    <xf numFmtId="49" fontId="7" fillId="12" borderId="14" xfId="0" applyNumberFormat="1" applyFont="1" applyFill="1" applyBorder="1" applyAlignment="1">
      <alignment horizontal="right"/>
    </xf>
    <xf numFmtId="0" fontId="0" fillId="22" borderId="1" xfId="0" applyFill="1" applyBorder="1"/>
    <xf numFmtId="0" fontId="7" fillId="23" borderId="1" xfId="0" applyFont="1" applyFill="1" applyBorder="1"/>
    <xf numFmtId="164" fontId="4" fillId="12" borderId="1" xfId="0" applyNumberFormat="1" applyFont="1" applyFill="1" applyBorder="1"/>
    <xf numFmtId="164" fontId="23" fillId="7" borderId="1" xfId="0" applyNumberFormat="1" applyFont="1" applyFill="1" applyBorder="1"/>
    <xf numFmtId="49" fontId="4" fillId="0" borderId="0" xfId="0" applyNumberFormat="1" applyFont="1" applyAlignment="1">
      <alignment wrapText="1"/>
    </xf>
    <xf numFmtId="9" fontId="0" fillId="0" borderId="0" xfId="0" applyNumberFormat="1"/>
    <xf numFmtId="1" fontId="7" fillId="9" borderId="1" xfId="0" applyNumberFormat="1" applyFont="1" applyFill="1" applyBorder="1"/>
    <xf numFmtId="164" fontId="24" fillId="0" borderId="1" xfId="0" applyNumberFormat="1" applyFont="1" applyFill="1" applyBorder="1"/>
    <xf numFmtId="0" fontId="4" fillId="0" borderId="0" xfId="0" applyFont="1" applyAlignment="1">
      <alignment horizontal="right"/>
    </xf>
    <xf numFmtId="2" fontId="7" fillId="12" borderId="1" xfId="0" applyNumberFormat="1" applyFont="1" applyFill="1" applyBorder="1"/>
    <xf numFmtId="2" fontId="23" fillId="7" borderId="1" xfId="0" applyNumberFormat="1" applyFont="1" applyFill="1" applyBorder="1"/>
    <xf numFmtId="1" fontId="21" fillId="0" borderId="1" xfId="0" applyNumberFormat="1" applyFont="1" applyFill="1" applyBorder="1"/>
    <xf numFmtId="164" fontId="0" fillId="12" borderId="0" xfId="0" applyNumberFormat="1" applyFill="1"/>
    <xf numFmtId="164" fontId="4" fillId="0" borderId="1" xfId="0" applyNumberFormat="1" applyFont="1" applyFill="1" applyBorder="1"/>
    <xf numFmtId="164" fontId="21" fillId="0" borderId="1" xfId="0" applyNumberFormat="1" applyFont="1" applyFill="1" applyBorder="1"/>
    <xf numFmtId="0" fontId="21" fillId="0" borderId="1" xfId="0" applyFont="1" applyFill="1" applyBorder="1"/>
    <xf numFmtId="0" fontId="4" fillId="0" borderId="12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24" fillId="0" borderId="1" xfId="0" applyNumberFormat="1" applyFont="1" applyFill="1" applyBorder="1"/>
    <xf numFmtId="2" fontId="24" fillId="0" borderId="1" xfId="0" applyNumberFormat="1" applyFont="1" applyFill="1" applyBorder="1"/>
    <xf numFmtId="1" fontId="0" fillId="0" borderId="1" xfId="0" applyNumberFormat="1" applyBorder="1" applyAlignment="1">
      <alignment horizontal="center"/>
    </xf>
    <xf numFmtId="164" fontId="23" fillId="0" borderId="1" xfId="0" applyNumberFormat="1" applyFont="1" applyFill="1" applyBorder="1"/>
    <xf numFmtId="2" fontId="24" fillId="7" borderId="1" xfId="0" applyNumberFormat="1" applyFont="1" applyFill="1" applyBorder="1"/>
    <xf numFmtId="2" fontId="23" fillId="7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indent="3"/>
    </xf>
    <xf numFmtId="0" fontId="29" fillId="0" borderId="0" xfId="2" applyAlignment="1">
      <alignment horizontal="left" vertical="center" indent="3"/>
    </xf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wrapText="1"/>
    </xf>
    <xf numFmtId="1" fontId="24" fillId="7" borderId="0" xfId="0" applyNumberFormat="1" applyFont="1" applyFill="1"/>
    <xf numFmtId="1" fontId="24" fillId="7" borderId="10" xfId="0" applyNumberFormat="1" applyFont="1" applyFill="1" applyBorder="1"/>
    <xf numFmtId="0" fontId="0" fillId="12" borderId="1" xfId="0" applyFill="1" applyBorder="1" applyAlignment="1">
      <alignment horizontal="center"/>
    </xf>
    <xf numFmtId="164" fontId="17" fillId="0" borderId="1" xfId="0" applyNumberFormat="1" applyFont="1" applyFill="1" applyBorder="1"/>
    <xf numFmtId="1" fontId="4" fillId="16" borderId="1" xfId="0" applyNumberFormat="1" applyFont="1" applyFill="1" applyBorder="1"/>
    <xf numFmtId="2" fontId="7" fillId="0" borderId="0" xfId="0" applyNumberFormat="1" applyFont="1"/>
    <xf numFmtId="9" fontId="7" fillId="0" borderId="1" xfId="0" applyNumberFormat="1" applyFont="1" applyFill="1" applyBorder="1" applyAlignment="1">
      <alignment horizontal="left"/>
    </xf>
    <xf numFmtId="164" fontId="4" fillId="20" borderId="1" xfId="0" applyNumberFormat="1" applyFont="1" applyFill="1" applyBorder="1"/>
    <xf numFmtId="172" fontId="5" fillId="0" borderId="1" xfId="0" applyNumberFormat="1" applyFont="1" applyFill="1" applyBorder="1"/>
    <xf numFmtId="0" fontId="24" fillId="0" borderId="1" xfId="0" applyFont="1" applyBorder="1"/>
    <xf numFmtId="1" fontId="10" fillId="0" borderId="1" xfId="0" applyNumberFormat="1" applyFont="1" applyFill="1" applyBorder="1"/>
    <xf numFmtId="1" fontId="0" fillId="20" borderId="1" xfId="0" applyNumberFormat="1" applyFill="1" applyBorder="1"/>
    <xf numFmtId="1" fontId="10" fillId="0" borderId="10" xfId="0" applyNumberFormat="1" applyFont="1" applyFill="1" applyBorder="1"/>
    <xf numFmtId="0" fontId="0" fillId="0" borderId="14" xfId="0" applyBorder="1"/>
    <xf numFmtId="1" fontId="24" fillId="7" borderId="24" xfId="0" applyNumberFormat="1" applyFont="1" applyFill="1" applyBorder="1"/>
    <xf numFmtId="1" fontId="6" fillId="0" borderId="3" xfId="0" applyNumberFormat="1" applyFont="1" applyFill="1" applyBorder="1"/>
    <xf numFmtId="1" fontId="23" fillId="7" borderId="11" xfId="0" applyNumberFormat="1" applyFont="1" applyFill="1" applyBorder="1"/>
    <xf numFmtId="173" fontId="0" fillId="0" borderId="14" xfId="0" applyNumberFormat="1" applyBorder="1"/>
    <xf numFmtId="0" fontId="4" fillId="0" borderId="24" xfId="0" applyFont="1" applyBorder="1"/>
    <xf numFmtId="0" fontId="4" fillId="0" borderId="3" xfId="0" applyFont="1" applyFill="1" applyBorder="1"/>
    <xf numFmtId="0" fontId="2" fillId="0" borderId="11" xfId="0" applyFont="1" applyBorder="1"/>
    <xf numFmtId="0" fontId="4" fillId="0" borderId="24" xfId="0" applyFont="1" applyFill="1" applyBorder="1"/>
    <xf numFmtId="0" fontId="4" fillId="0" borderId="12" xfId="0" applyFont="1" applyBorder="1"/>
    <xf numFmtId="0" fontId="0" fillId="0" borderId="10" xfId="0" applyBorder="1"/>
    <xf numFmtId="1" fontId="4" fillId="24" borderId="1" xfId="0" applyNumberFormat="1" applyFont="1" applyFill="1" applyBorder="1"/>
    <xf numFmtId="2" fontId="23" fillId="0" borderId="1" xfId="0" applyNumberFormat="1" applyFont="1" applyFill="1" applyBorder="1"/>
    <xf numFmtId="0" fontId="0" fillId="0" borderId="0" xfId="0" applyFill="1" applyAlignment="1">
      <alignment horizontal="left"/>
    </xf>
    <xf numFmtId="0" fontId="24" fillId="0" borderId="0" xfId="0" applyFont="1" applyFill="1" applyAlignment="1">
      <alignment horizontal="left"/>
    </xf>
    <xf numFmtId="2" fontId="23" fillId="0" borderId="0" xfId="0" applyNumberFormat="1" applyFont="1" applyFill="1" applyAlignment="1">
      <alignment horizontal="left"/>
    </xf>
    <xf numFmtId="0" fontId="12" fillId="24" borderId="10" xfId="0" applyNumberFormat="1" applyFont="1" applyFill="1" applyBorder="1" applyAlignment="1">
      <alignment horizontal="center" vertical="top" wrapText="1"/>
    </xf>
    <xf numFmtId="0" fontId="2" fillId="24" borderId="1" xfId="0" applyFont="1" applyFill="1" applyBorder="1"/>
    <xf numFmtId="164" fontId="4" fillId="24" borderId="1" xfId="0" applyNumberFormat="1" applyFont="1" applyFill="1" applyBorder="1" applyAlignment="1">
      <alignment horizontal="right"/>
    </xf>
    <xf numFmtId="168" fontId="2" fillId="12" borderId="3" xfId="0" applyNumberFormat="1" applyFont="1" applyFill="1" applyBorder="1" applyAlignment="1">
      <alignment wrapText="1"/>
    </xf>
    <xf numFmtId="0" fontId="7" fillId="12" borderId="1" xfId="0" applyFont="1" applyFill="1" applyBorder="1"/>
    <xf numFmtId="0" fontId="2" fillId="24" borderId="1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1" fontId="4" fillId="12" borderId="14" xfId="0" applyNumberFormat="1" applyFont="1" applyFill="1" applyBorder="1"/>
    <xf numFmtId="1" fontId="4" fillId="12" borderId="1" xfId="0" applyNumberFormat="1" applyFont="1" applyFill="1" applyBorder="1" applyAlignment="1">
      <alignment horizontal="right"/>
    </xf>
    <xf numFmtId="49" fontId="4" fillId="20" borderId="1" xfId="0" applyNumberFormat="1" applyFont="1" applyFill="1" applyBorder="1" applyAlignment="1">
      <alignment horizontal="right"/>
    </xf>
    <xf numFmtId="164" fontId="7" fillId="20" borderId="1" xfId="0" applyNumberFormat="1" applyFont="1" applyFill="1" applyBorder="1" applyAlignment="1">
      <alignment horizontal="right"/>
    </xf>
    <xf numFmtId="1" fontId="0" fillId="0" borderId="1" xfId="0" applyNumberFormat="1" applyFill="1" applyBorder="1" applyAlignment="1">
      <alignment horizontal="center"/>
    </xf>
    <xf numFmtId="0" fontId="0" fillId="0" borderId="24" xfId="0" applyBorder="1"/>
    <xf numFmtId="0" fontId="0" fillId="0" borderId="16" xfId="0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24" fillId="0" borderId="1" xfId="0" applyNumberFormat="1" applyFont="1" applyFill="1" applyBorder="1" applyAlignment="1">
      <alignment horizontal="center"/>
    </xf>
    <xf numFmtId="1" fontId="24" fillId="0" borderId="3" xfId="0" applyNumberFormat="1" applyFont="1" applyFill="1" applyBorder="1" applyAlignment="1">
      <alignment horizontal="center"/>
    </xf>
    <xf numFmtId="1" fontId="24" fillId="0" borderId="22" xfId="0" applyNumberFormat="1" applyFont="1" applyFill="1" applyBorder="1" applyAlignment="1">
      <alignment horizontal="center"/>
    </xf>
    <xf numFmtId="1" fontId="24" fillId="0" borderId="10" xfId="0" applyNumberFormat="1" applyFont="1" applyFill="1" applyBorder="1"/>
    <xf numFmtId="1" fontId="24" fillId="0" borderId="14" xfId="0" applyNumberFormat="1" applyFont="1" applyFill="1" applyBorder="1" applyAlignment="1">
      <alignment horizontal="center"/>
    </xf>
    <xf numFmtId="1" fontId="24" fillId="0" borderId="20" xfId="0" applyNumberFormat="1" applyFont="1" applyFill="1" applyBorder="1" applyAlignment="1">
      <alignment horizontal="center"/>
    </xf>
    <xf numFmtId="1" fontId="23" fillId="7" borderId="11" xfId="0" applyNumberFormat="1" applyFont="1" applyFill="1" applyBorder="1" applyAlignment="1">
      <alignment horizontal="center"/>
    </xf>
    <xf numFmtId="0" fontId="0" fillId="0" borderId="3" xfId="0" applyFill="1" applyBorder="1"/>
    <xf numFmtId="1" fontId="24" fillId="0" borderId="24" xfId="0" applyNumberFormat="1" applyFont="1" applyFill="1" applyBorder="1"/>
    <xf numFmtId="1" fontId="24" fillId="0" borderId="3" xfId="0" applyNumberFormat="1" applyFont="1" applyFill="1" applyBorder="1"/>
    <xf numFmtId="1" fontId="4" fillId="20" borderId="3" xfId="0" applyNumberFormat="1" applyFont="1" applyFill="1" applyBorder="1"/>
    <xf numFmtId="1" fontId="4" fillId="0" borderId="10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24" fillId="0" borderId="24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" fontId="4" fillId="0" borderId="24" xfId="0" applyNumberFormat="1" applyFont="1" applyFill="1" applyBorder="1"/>
    <xf numFmtId="1" fontId="23" fillId="0" borderId="1" xfId="0" applyNumberFormat="1" applyFont="1" applyFill="1" applyBorder="1" applyAlignment="1">
      <alignment horizontal="center"/>
    </xf>
    <xf numFmtId="1" fontId="23" fillId="0" borderId="14" xfId="0" applyNumberFormat="1" applyFont="1" applyFill="1" applyBorder="1" applyAlignment="1">
      <alignment horizontal="center"/>
    </xf>
    <xf numFmtId="164" fontId="23" fillId="7" borderId="11" xfId="0" applyNumberFormat="1" applyFont="1" applyFill="1" applyBorder="1" applyAlignment="1">
      <alignment horizontal="center"/>
    </xf>
    <xf numFmtId="0" fontId="4" fillId="0" borderId="3" xfId="0" applyFont="1" applyBorder="1"/>
    <xf numFmtId="0" fontId="2" fillId="0" borderId="11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0" fillId="0" borderId="3" xfId="0" applyBorder="1" applyAlignment="1">
      <alignment wrapText="1"/>
    </xf>
    <xf numFmtId="1" fontId="4" fillId="0" borderId="3" xfId="0" applyNumberFormat="1" applyFont="1" applyFill="1" applyBorder="1" applyAlignment="1">
      <alignment horizontal="right"/>
    </xf>
    <xf numFmtId="0" fontId="4" fillId="24" borderId="1" xfId="0" applyFont="1" applyFill="1" applyBorder="1"/>
    <xf numFmtId="1" fontId="24" fillId="20" borderId="20" xfId="0" applyNumberFormat="1" applyFont="1" applyFill="1" applyBorder="1" applyAlignment="1">
      <alignment horizontal="center"/>
    </xf>
    <xf numFmtId="1" fontId="24" fillId="20" borderId="10" xfId="0" applyNumberFormat="1" applyFont="1" applyFill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1" fontId="24" fillId="7" borderId="10" xfId="0" applyNumberFormat="1" applyFont="1" applyFill="1" applyBorder="1" applyAlignment="1">
      <alignment horizontal="center"/>
    </xf>
    <xf numFmtId="1" fontId="24" fillId="7" borderId="3" xfId="0" applyNumberFormat="1" applyFont="1" applyFill="1" applyBorder="1"/>
    <xf numFmtId="1" fontId="4" fillId="20" borderId="1" xfId="0" applyNumberFormat="1" applyFont="1" applyFill="1" applyBorder="1" applyAlignment="1">
      <alignment horizontal="center"/>
    </xf>
    <xf numFmtId="1" fontId="24" fillId="7" borderId="1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/>
    </xf>
    <xf numFmtId="164" fontId="4" fillId="24" borderId="1" xfId="0" applyNumberFormat="1" applyFont="1" applyFill="1" applyBorder="1"/>
    <xf numFmtId="1" fontId="24" fillId="0" borderId="0" xfId="0" applyNumberFormat="1" applyFont="1" applyFill="1"/>
    <xf numFmtId="1" fontId="24" fillId="7" borderId="24" xfId="0" applyNumberFormat="1" applyFont="1" applyFill="1" applyBorder="1" applyAlignment="1">
      <alignment horizontal="center"/>
    </xf>
    <xf numFmtId="0" fontId="4" fillId="0" borderId="16" xfId="0" applyFont="1" applyFill="1" applyBorder="1"/>
    <xf numFmtId="164" fontId="4" fillId="0" borderId="16" xfId="0" applyNumberFormat="1" applyFont="1" applyFill="1" applyBorder="1" applyAlignment="1">
      <alignment horizontal="center"/>
    </xf>
    <xf numFmtId="164" fontId="6" fillId="0" borderId="24" xfId="0" applyNumberFormat="1" applyFont="1" applyFill="1" applyBorder="1" applyAlignment="1">
      <alignment horizontal="center"/>
    </xf>
    <xf numFmtId="0" fontId="0" fillId="0" borderId="24" xfId="0" applyFill="1" applyBorder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24" fillId="7" borderId="0" xfId="0" applyNumberFormat="1" applyFont="1" applyFill="1" applyAlignment="1">
      <alignment horizontal="center"/>
    </xf>
    <xf numFmtId="164" fontId="24" fillId="0" borderId="3" xfId="0" applyNumberFormat="1" applyFont="1" applyFill="1" applyBorder="1" applyAlignment="1">
      <alignment horizontal="center"/>
    </xf>
    <xf numFmtId="1" fontId="24" fillId="20" borderId="14" xfId="0" applyNumberFormat="1" applyFont="1" applyFill="1" applyBorder="1" applyAlignment="1">
      <alignment horizontal="center"/>
    </xf>
    <xf numFmtId="1" fontId="2" fillId="24" borderId="11" xfId="0" applyNumberFormat="1" applyFont="1" applyFill="1" applyBorder="1"/>
    <xf numFmtId="1" fontId="4" fillId="20" borderId="14" xfId="0" applyNumberFormat="1" applyFont="1" applyFill="1" applyBorder="1"/>
    <xf numFmtId="1" fontId="0" fillId="20" borderId="1" xfId="0" applyNumberFormat="1" applyFill="1" applyBorder="1" applyAlignment="1">
      <alignment horizontal="center"/>
    </xf>
    <xf numFmtId="49" fontId="4" fillId="1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wrapText="1"/>
    </xf>
    <xf numFmtId="0" fontId="4" fillId="0" borderId="14" xfId="0" applyFont="1" applyBorder="1"/>
    <xf numFmtId="1" fontId="4" fillId="0" borderId="22" xfId="0" applyNumberFormat="1" applyFont="1" applyFill="1" applyBorder="1" applyAlignment="1">
      <alignment horizontal="center"/>
    </xf>
    <xf numFmtId="164" fontId="23" fillId="0" borderId="3" xfId="0" applyNumberFormat="1" applyFont="1" applyFill="1" applyBorder="1" applyAlignment="1">
      <alignment horizontal="left"/>
    </xf>
    <xf numFmtId="164" fontId="24" fillId="7" borderId="1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" fontId="24" fillId="0" borderId="16" xfId="0" applyNumberFormat="1" applyFont="1" applyFill="1" applyBorder="1"/>
    <xf numFmtId="1" fontId="23" fillId="0" borderId="3" xfId="0" applyNumberFormat="1" applyFont="1" applyFill="1" applyBorder="1" applyAlignment="1">
      <alignment horizontal="center"/>
    </xf>
    <xf numFmtId="49" fontId="2" fillId="24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64" fontId="24" fillId="0" borderId="10" xfId="0" applyNumberFormat="1" applyFont="1" applyFill="1" applyBorder="1" applyAlignment="1">
      <alignment horizontal="center"/>
    </xf>
    <xf numFmtId="0" fontId="0" fillId="0" borderId="14" xfId="0" applyFill="1" applyBorder="1"/>
    <xf numFmtId="0" fontId="2" fillId="24" borderId="11" xfId="0" applyFont="1" applyFill="1" applyBorder="1"/>
    <xf numFmtId="0" fontId="0" fillId="0" borderId="10" xfId="0" applyFill="1" applyBorder="1"/>
    <xf numFmtId="164" fontId="24" fillId="0" borderId="24" xfId="0" applyNumberFormat="1" applyFont="1" applyFill="1" applyBorder="1" applyAlignment="1">
      <alignment horizontal="center"/>
    </xf>
    <xf numFmtId="164" fontId="23" fillId="0" borderId="24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1" fontId="24" fillId="0" borderId="14" xfId="0" applyNumberFormat="1" applyFont="1" applyFill="1" applyBorder="1"/>
    <xf numFmtId="0" fontId="0" fillId="0" borderId="20" xfId="0" applyFill="1" applyBorder="1"/>
    <xf numFmtId="1" fontId="24" fillId="0" borderId="22" xfId="0" applyNumberFormat="1" applyFont="1" applyFill="1" applyBorder="1"/>
    <xf numFmtId="0" fontId="2" fillId="24" borderId="24" xfId="0" applyFont="1" applyFill="1" applyBorder="1"/>
    <xf numFmtId="1" fontId="24" fillId="0" borderId="18" xfId="0" applyNumberFormat="1" applyFont="1" applyFill="1" applyBorder="1" applyAlignment="1">
      <alignment horizontal="center"/>
    </xf>
    <xf numFmtId="1" fontId="24" fillId="0" borderId="19" xfId="0" applyNumberFormat="1" applyFont="1" applyFill="1" applyBorder="1"/>
    <xf numFmtId="164" fontId="23" fillId="0" borderId="22" xfId="0" applyNumberFormat="1" applyFont="1" applyFill="1" applyBorder="1" applyAlignment="1">
      <alignment horizontal="center"/>
    </xf>
    <xf numFmtId="1" fontId="4" fillId="20" borderId="1" xfId="0" applyNumberFormat="1" applyFont="1" applyFill="1" applyBorder="1" applyAlignment="1">
      <alignment horizontal="right"/>
    </xf>
    <xf numFmtId="1" fontId="23" fillId="7" borderId="1" xfId="0" applyNumberFormat="1" applyFont="1" applyFill="1" applyBorder="1" applyAlignment="1">
      <alignment horizontal="center"/>
    </xf>
    <xf numFmtId="1" fontId="4" fillId="20" borderId="3" xfId="0" applyNumberFormat="1" applyFont="1" applyFill="1" applyBorder="1" applyAlignment="1">
      <alignment horizontal="center"/>
    </xf>
    <xf numFmtId="0" fontId="23" fillId="7" borderId="1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4" fillId="0" borderId="0" xfId="0" applyFont="1" applyBorder="1"/>
    <xf numFmtId="1" fontId="2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/>
    <xf numFmtId="164" fontId="24" fillId="0" borderId="13" xfId="0" applyNumberFormat="1" applyFont="1" applyFill="1" applyBorder="1" applyAlignment="1">
      <alignment horizontal="center"/>
    </xf>
    <xf numFmtId="164" fontId="24" fillId="0" borderId="24" xfId="0" applyNumberFormat="1" applyFont="1" applyFill="1" applyBorder="1"/>
    <xf numFmtId="0" fontId="0" fillId="0" borderId="22" xfId="0" applyBorder="1"/>
    <xf numFmtId="0" fontId="0" fillId="0" borderId="12" xfId="0" applyBorder="1"/>
    <xf numFmtId="0" fontId="24" fillId="0" borderId="24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164" fontId="23" fillId="0" borderId="16" xfId="0" applyNumberFormat="1" applyFont="1" applyFill="1" applyBorder="1" applyAlignment="1">
      <alignment horizontal="center"/>
    </xf>
    <xf numFmtId="164" fontId="23" fillId="0" borderId="10" xfId="0" applyNumberFormat="1" applyFont="1" applyFill="1" applyBorder="1" applyAlignment="1">
      <alignment horizontal="center"/>
    </xf>
    <xf numFmtId="1" fontId="24" fillId="0" borderId="18" xfId="0" applyNumberFormat="1" applyFont="1" applyFill="1" applyBorder="1"/>
    <xf numFmtId="0" fontId="4" fillId="20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4" fontId="4" fillId="20" borderId="10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wrapText="1"/>
    </xf>
    <xf numFmtId="172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right"/>
    </xf>
    <xf numFmtId="14" fontId="0" fillId="0" borderId="1" xfId="0" applyNumberFormat="1" applyFill="1" applyBorder="1"/>
    <xf numFmtId="1" fontId="0" fillId="0" borderId="24" xfId="0" applyNumberFormat="1" applyFill="1" applyBorder="1"/>
    <xf numFmtId="1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174" fontId="24" fillId="7" borderId="13" xfId="0" applyNumberFormat="1" applyFont="1" applyFill="1" applyBorder="1"/>
    <xf numFmtId="0" fontId="7" fillId="0" borderId="0" xfId="0" applyFont="1" applyFill="1" applyBorder="1"/>
    <xf numFmtId="164" fontId="6" fillId="0" borderId="0" xfId="0" applyNumberFormat="1" applyFont="1" applyFill="1" applyBorder="1"/>
    <xf numFmtId="1" fontId="25" fillId="0" borderId="0" xfId="0" applyNumberFormat="1" applyFont="1" applyFill="1" applyBorder="1"/>
    <xf numFmtId="0" fontId="4" fillId="0" borderId="24" xfId="0" applyFont="1" applyBorder="1" applyAlignment="1">
      <alignment horizontal="center"/>
    </xf>
    <xf numFmtId="0" fontId="4" fillId="24" borderId="11" xfId="0" applyFont="1" applyFill="1" applyBorder="1"/>
    <xf numFmtId="49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1" fontId="0" fillId="0" borderId="3" xfId="0" applyNumberFormat="1" applyBorder="1"/>
    <xf numFmtId="0" fontId="4" fillId="24" borderId="25" xfId="0" applyFont="1" applyFill="1" applyBorder="1"/>
    <xf numFmtId="1" fontId="23" fillId="7" borderId="26" xfId="0" applyNumberFormat="1" applyFont="1" applyFill="1" applyBorder="1"/>
    <xf numFmtId="1" fontId="0" fillId="25" borderId="1" xfId="0" applyNumberFormat="1" applyFill="1" applyBorder="1" applyAlignment="1">
      <alignment horizontal="center"/>
    </xf>
    <xf numFmtId="2" fontId="0" fillId="25" borderId="1" xfId="0" applyNumberFormat="1" applyFill="1" applyBorder="1" applyAlignment="1">
      <alignment horizontal="center"/>
    </xf>
    <xf numFmtId="0" fontId="0" fillId="24" borderId="1" xfId="0" applyFill="1" applyBorder="1"/>
    <xf numFmtId="164" fontId="4" fillId="0" borderId="14" xfId="0" applyNumberFormat="1" applyFont="1" applyFill="1" applyBorder="1" applyAlignment="1">
      <alignment horizontal="right" wrapText="1"/>
    </xf>
    <xf numFmtId="0" fontId="4" fillId="0" borderId="10" xfId="0" applyFont="1" applyFill="1" applyBorder="1" applyAlignment="1">
      <alignment horizontal="left"/>
    </xf>
    <xf numFmtId="1" fontId="0" fillId="20" borderId="24" xfId="0" applyNumberFormat="1" applyFill="1" applyBorder="1"/>
    <xf numFmtId="0" fontId="4" fillId="24" borderId="27" xfId="0" applyFont="1" applyFill="1" applyBorder="1"/>
    <xf numFmtId="0" fontId="2" fillId="24" borderId="28" xfId="0" applyFont="1" applyFill="1" applyBorder="1" applyAlignment="1">
      <alignment horizontal="center"/>
    </xf>
    <xf numFmtId="9" fontId="4" fillId="0" borderId="10" xfId="0" applyNumberFormat="1" applyFont="1" applyFill="1" applyBorder="1" applyAlignment="1">
      <alignment horizontal="left"/>
    </xf>
    <xf numFmtId="0" fontId="4" fillId="0" borderId="3" xfId="0" applyFont="1" applyBorder="1" applyAlignment="1"/>
    <xf numFmtId="0" fontId="3" fillId="24" borderId="1" xfId="0" applyFont="1" applyFill="1" applyBorder="1"/>
    <xf numFmtId="2" fontId="0" fillId="25" borderId="14" xfId="0" applyNumberFormat="1" applyFill="1" applyBorder="1" applyAlignment="1">
      <alignment horizontal="center"/>
    </xf>
    <xf numFmtId="1" fontId="24" fillId="7" borderId="26" xfId="0" applyNumberFormat="1" applyFont="1" applyFill="1" applyBorder="1"/>
    <xf numFmtId="166" fontId="0" fillId="0" borderId="0" xfId="0" applyNumberFormat="1" applyBorder="1" applyAlignment="1">
      <alignment horizontal="left"/>
    </xf>
    <xf numFmtId="0" fontId="2" fillId="0" borderId="0" xfId="0" applyFont="1" applyBorder="1"/>
    <xf numFmtId="0" fontId="0" fillId="0" borderId="18" xfId="0" applyBorder="1"/>
    <xf numFmtId="0" fontId="2" fillId="24" borderId="14" xfId="0" applyFont="1" applyFill="1" applyBorder="1"/>
    <xf numFmtId="0" fontId="3" fillId="24" borderId="1" xfId="0" applyFont="1" applyFill="1" applyBorder="1" applyAlignment="1">
      <alignment wrapText="1"/>
    </xf>
    <xf numFmtId="0" fontId="4" fillId="0" borderId="19" xfId="0" applyFont="1" applyFill="1" applyBorder="1"/>
    <xf numFmtId="0" fontId="2" fillId="24" borderId="29" xfId="0" applyFont="1" applyFill="1" applyBorder="1" applyAlignment="1">
      <alignment wrapText="1"/>
    </xf>
    <xf numFmtId="0" fontId="4" fillId="0" borderId="19" xfId="0" applyFont="1" applyBorder="1"/>
    <xf numFmtId="168" fontId="4" fillId="0" borderId="11" xfId="0" applyNumberFormat="1" applyFont="1" applyFill="1" applyBorder="1"/>
    <xf numFmtId="1" fontId="6" fillId="0" borderId="1" xfId="0" applyNumberFormat="1" applyFont="1" applyFill="1" applyBorder="1"/>
    <xf numFmtId="168" fontId="2" fillId="0" borderId="1" xfId="0" applyNumberFormat="1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 wrapText="1"/>
    </xf>
    <xf numFmtId="164" fontId="2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/>
    <xf numFmtId="49" fontId="4" fillId="0" borderId="1" xfId="0" applyNumberFormat="1" applyFont="1" applyBorder="1"/>
    <xf numFmtId="0" fontId="2" fillId="24" borderId="1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18" borderId="1" xfId="0" applyFont="1" applyFill="1" applyBorder="1"/>
    <xf numFmtId="0" fontId="2" fillId="18" borderId="1" xfId="0" applyFont="1" applyFill="1" applyBorder="1"/>
    <xf numFmtId="14" fontId="4" fillId="0" borderId="1" xfId="0" applyNumberFormat="1" applyFont="1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1" fontId="2" fillId="24" borderId="1" xfId="0" applyNumberFormat="1" applyFont="1" applyFill="1" applyBorder="1" applyAlignment="1">
      <alignment horizontal="center"/>
    </xf>
    <xf numFmtId="1" fontId="2" fillId="20" borderId="1" xfId="0" applyNumberFormat="1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164" fontId="2" fillId="20" borderId="1" xfId="0" applyNumberFormat="1" applyFont="1" applyFill="1" applyBorder="1" applyAlignment="1">
      <alignment horizontal="center"/>
    </xf>
    <xf numFmtId="2" fontId="2" fillId="20" borderId="1" xfId="0" applyNumberFormat="1" applyFont="1" applyFill="1" applyBorder="1" applyAlignment="1">
      <alignment horizontal="center"/>
    </xf>
    <xf numFmtId="49" fontId="2" fillId="20" borderId="1" xfId="0" applyNumberFormat="1" applyFont="1" applyFill="1" applyBorder="1" applyAlignment="1">
      <alignment horizontal="center"/>
    </xf>
    <xf numFmtId="1" fontId="4" fillId="0" borderId="3" xfId="0" applyNumberFormat="1" applyFont="1" applyFill="1" applyBorder="1"/>
    <xf numFmtId="0" fontId="11" fillId="12" borderId="1" xfId="0" applyFont="1" applyFill="1" applyBorder="1"/>
    <xf numFmtId="168" fontId="2" fillId="0" borderId="1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1" fontId="0" fillId="0" borderId="1" xfId="0" applyNumberFormat="1" applyBorder="1" applyAlignment="1">
      <alignment horizontal="left"/>
    </xf>
    <xf numFmtId="1" fontId="4" fillId="20" borderId="12" xfId="0" applyNumberFormat="1" applyFont="1" applyFill="1" applyBorder="1"/>
    <xf numFmtId="1" fontId="0" fillId="0" borderId="0" xfId="0" applyNumberFormat="1" applyBorder="1" applyAlignment="1">
      <alignment horizontal="left"/>
    </xf>
    <xf numFmtId="168" fontId="8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" fontId="4" fillId="0" borderId="0" xfId="0" applyNumberFormat="1" applyFont="1" applyAlignment="1">
      <alignment horizontal="center"/>
    </xf>
    <xf numFmtId="1" fontId="4" fillId="19" borderId="1" xfId="0" applyNumberFormat="1" applyFont="1" applyFill="1" applyBorder="1"/>
    <xf numFmtId="0" fontId="0" fillId="0" borderId="12" xfId="0" applyFont="1" applyFill="1" applyBorder="1"/>
    <xf numFmtId="0" fontId="0" fillId="0" borderId="1" xfId="0" applyFont="1" applyFill="1" applyBorder="1"/>
    <xf numFmtId="0" fontId="0" fillId="0" borderId="13" xfId="0" applyBorder="1"/>
    <xf numFmtId="0" fontId="3" fillId="17" borderId="1" xfId="0" applyFont="1" applyFill="1" applyBorder="1"/>
    <xf numFmtId="164" fontId="21" fillId="18" borderId="1" xfId="0" applyNumberFormat="1" applyFont="1" applyFill="1" applyBorder="1"/>
    <xf numFmtId="0" fontId="24" fillId="0" borderId="0" xfId="0" applyFont="1"/>
    <xf numFmtId="1" fontId="4" fillId="0" borderId="1" xfId="0" applyNumberFormat="1" applyFont="1" applyBorder="1" applyAlignment="1">
      <alignment horizontal="right" wrapText="1"/>
    </xf>
    <xf numFmtId="166" fontId="11" fillId="17" borderId="1" xfId="0" applyNumberFormat="1" applyFont="1" applyFill="1" applyBorder="1"/>
    <xf numFmtId="14" fontId="0" fillId="0" borderId="0" xfId="0" applyNumberFormat="1" applyFill="1" applyBorder="1" applyAlignment="1">
      <alignment horizontal="center" wrapText="1"/>
    </xf>
    <xf numFmtId="0" fontId="8" fillId="12" borderId="1" xfId="0" applyFont="1" applyFill="1" applyBorder="1"/>
    <xf numFmtId="164" fontId="4" fillId="4" borderId="1" xfId="0" applyNumberFormat="1" applyFont="1" applyFill="1" applyBorder="1"/>
    <xf numFmtId="164" fontId="4" fillId="7" borderId="1" xfId="0" applyNumberFormat="1" applyFont="1" applyFill="1" applyBorder="1"/>
    <xf numFmtId="1" fontId="4" fillId="7" borderId="1" xfId="0" applyNumberFormat="1" applyFont="1" applyFill="1" applyBorder="1"/>
    <xf numFmtId="164" fontId="4" fillId="4" borderId="3" xfId="0" applyNumberFormat="1" applyFont="1" applyFill="1" applyBorder="1"/>
    <xf numFmtId="1" fontId="4" fillId="4" borderId="3" xfId="0" applyNumberFormat="1" applyFont="1" applyFill="1" applyBorder="1"/>
    <xf numFmtId="0" fontId="4" fillId="2" borderId="2" xfId="0" applyFont="1" applyFill="1" applyBorder="1"/>
    <xf numFmtId="2" fontId="4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" fontId="4" fillId="12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/>
    <xf numFmtId="1" fontId="4" fillId="4" borderId="1" xfId="0" applyNumberFormat="1" applyFont="1" applyFill="1" applyBorder="1"/>
    <xf numFmtId="0" fontId="2" fillId="0" borderId="5" xfId="0" applyFont="1" applyBorder="1" applyAlignment="1">
      <alignment wrapText="1"/>
    </xf>
    <xf numFmtId="0" fontId="4" fillId="0" borderId="5" xfId="0" applyFont="1" applyBorder="1"/>
    <xf numFmtId="1" fontId="4" fillId="0" borderId="6" xfId="0" applyNumberFormat="1" applyFont="1" applyBorder="1"/>
    <xf numFmtId="1" fontId="2" fillId="4" borderId="1" xfId="0" applyNumberFormat="1" applyFont="1" applyFill="1" applyBorder="1"/>
    <xf numFmtId="1" fontId="4" fillId="0" borderId="8" xfId="0" applyNumberFormat="1" applyFont="1" applyBorder="1"/>
    <xf numFmtId="2" fontId="2" fillId="4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/>
    <xf numFmtId="2" fontId="4" fillId="4" borderId="1" xfId="0" applyNumberFormat="1" applyFont="1" applyFill="1" applyBorder="1" applyAlignment="1">
      <alignment horizontal="center" wrapText="1"/>
    </xf>
    <xf numFmtId="0" fontId="4" fillId="0" borderId="2" xfId="0" applyFont="1" applyBorder="1"/>
    <xf numFmtId="1" fontId="2" fillId="4" borderId="9" xfId="0" applyNumberFormat="1" applyFont="1" applyFill="1" applyBorder="1"/>
    <xf numFmtId="164" fontId="4" fillId="16" borderId="1" xfId="0" applyNumberFormat="1" applyFont="1" applyFill="1" applyBorder="1" applyAlignment="1">
      <alignment horizontal="right"/>
    </xf>
    <xf numFmtId="0" fontId="21" fillId="10" borderId="1" xfId="0" applyFont="1" applyFill="1" applyBorder="1" applyAlignment="1">
      <alignment horizontal="right"/>
    </xf>
    <xf numFmtId="0" fontId="4" fillId="0" borderId="1" xfId="0" applyFont="1" applyBorder="1" applyAlignment="1"/>
    <xf numFmtId="164" fontId="4" fillId="26" borderId="1" xfId="0" applyNumberFormat="1" applyFont="1" applyFill="1" applyBorder="1"/>
    <xf numFmtId="0" fontId="21" fillId="11" borderId="1" xfId="0" applyFont="1" applyFill="1" applyBorder="1"/>
    <xf numFmtId="164" fontId="4" fillId="16" borderId="1" xfId="0" applyNumberFormat="1" applyFont="1" applyFill="1" applyBorder="1"/>
    <xf numFmtId="1" fontId="2" fillId="0" borderId="1" xfId="0" applyNumberFormat="1" applyFont="1" applyFill="1" applyBorder="1" applyAlignment="1">
      <alignment horizontal="center" wrapText="1"/>
    </xf>
    <xf numFmtId="164" fontId="4" fillId="0" borderId="3" xfId="0" applyNumberFormat="1" applyFont="1" applyBorder="1"/>
    <xf numFmtId="164" fontId="2" fillId="16" borderId="1" xfId="0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/>
    <xf numFmtId="2" fontId="2" fillId="4" borderId="1" xfId="0" applyNumberFormat="1" applyFont="1" applyFill="1" applyBorder="1" applyAlignment="1">
      <alignment horizontal="center"/>
    </xf>
    <xf numFmtId="0" fontId="4" fillId="12" borderId="0" xfId="0" applyFont="1" applyFill="1"/>
    <xf numFmtId="1" fontId="4" fillId="2" borderId="2" xfId="0" applyNumberFormat="1" applyFont="1" applyFill="1" applyBorder="1"/>
    <xf numFmtId="2" fontId="21" fillId="11" borderId="1" xfId="0" applyNumberFormat="1" applyFont="1" applyFill="1" applyBorder="1"/>
    <xf numFmtId="164" fontId="4" fillId="0" borderId="0" xfId="0" applyNumberFormat="1" applyFont="1" applyFill="1" applyBorder="1"/>
    <xf numFmtId="164" fontId="2" fillId="0" borderId="17" xfId="0" applyNumberFormat="1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Border="1"/>
    <xf numFmtId="0" fontId="4" fillId="0" borderId="21" xfId="0" applyFont="1" applyBorder="1"/>
    <xf numFmtId="2" fontId="2" fillId="4" borderId="1" xfId="0" applyNumberFormat="1" applyFont="1" applyFill="1" applyBorder="1" applyAlignment="1">
      <alignment wrapText="1"/>
    </xf>
    <xf numFmtId="2" fontId="4" fillId="4" borderId="1" xfId="0" applyNumberFormat="1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4" fillId="7" borderId="1" xfId="0" applyNumberFormat="1" applyFont="1" applyFill="1" applyBorder="1" applyAlignment="1">
      <alignment horizontal="right"/>
    </xf>
    <xf numFmtId="0" fontId="4" fillId="14" borderId="1" xfId="0" applyFont="1" applyFill="1" applyBorder="1"/>
    <xf numFmtId="0" fontId="4" fillId="7" borderId="1" xfId="0" applyFont="1" applyFill="1" applyBorder="1"/>
    <xf numFmtId="164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4" fillId="4" borderId="1" xfId="0" applyNumberFormat="1" applyFont="1" applyFill="1" applyBorder="1" applyAlignment="1">
      <alignment wrapText="1"/>
    </xf>
    <xf numFmtId="164" fontId="4" fillId="0" borderId="2" xfId="0" applyNumberFormat="1" applyFont="1" applyBorder="1"/>
    <xf numFmtId="1" fontId="4" fillId="7" borderId="2" xfId="0" applyNumberFormat="1" applyFont="1" applyFill="1" applyBorder="1"/>
    <xf numFmtId="1" fontId="3" fillId="4" borderId="1" xfId="0" applyNumberFormat="1" applyFont="1" applyFill="1" applyBorder="1"/>
    <xf numFmtId="1" fontId="2" fillId="4" borderId="24" xfId="0" applyNumberFormat="1" applyFont="1" applyFill="1" applyBorder="1"/>
    <xf numFmtId="2" fontId="4" fillId="4" borderId="14" xfId="0" applyNumberFormat="1" applyFont="1" applyFill="1" applyBorder="1"/>
    <xf numFmtId="164" fontId="4" fillId="7" borderId="0" xfId="0" applyNumberFormat="1" applyFont="1" applyFill="1"/>
    <xf numFmtId="0" fontId="21" fillId="15" borderId="1" xfId="0" applyFont="1" applyFill="1" applyBorder="1"/>
    <xf numFmtId="164" fontId="2" fillId="7" borderId="1" xfId="0" applyNumberFormat="1" applyFont="1" applyFill="1" applyBorder="1"/>
    <xf numFmtId="165" fontId="4" fillId="4" borderId="1" xfId="0" applyNumberFormat="1" applyFont="1" applyFill="1" applyBorder="1"/>
    <xf numFmtId="1" fontId="4" fillId="7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/>
    <xf numFmtId="1" fontId="24" fillId="0" borderId="1" xfId="0" applyNumberFormat="1" applyFont="1" applyBorder="1"/>
    <xf numFmtId="0" fontId="21" fillId="0" borderId="0" xfId="0" applyFont="1"/>
    <xf numFmtId="164" fontId="4" fillId="0" borderId="1" xfId="0" applyNumberFormat="1" applyFont="1" applyFill="1" applyBorder="1" applyAlignment="1">
      <alignment horizontal="right"/>
    </xf>
    <xf numFmtId="0" fontId="4" fillId="0" borderId="1" xfId="0" quotePrefix="1" applyFont="1" applyBorder="1"/>
    <xf numFmtId="1" fontId="2" fillId="20" borderId="1" xfId="0" applyNumberFormat="1" applyFont="1" applyFill="1" applyBorder="1"/>
    <xf numFmtId="1" fontId="4" fillId="12" borderId="12" xfId="0" applyNumberFormat="1" applyFont="1" applyFill="1" applyBorder="1"/>
    <xf numFmtId="14" fontId="8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" fontId="11" fillId="12" borderId="1" xfId="0" applyNumberFormat="1" applyFont="1" applyFill="1" applyBorder="1"/>
    <xf numFmtId="2" fontId="4" fillId="0" borderId="14" xfId="0" applyNumberFormat="1" applyFont="1" applyFill="1" applyBorder="1"/>
    <xf numFmtId="1" fontId="23" fillId="7" borderId="11" xfId="0" applyNumberFormat="1" applyFont="1" applyFill="1" applyBorder="1" applyAlignment="1">
      <alignment horizontal="right"/>
    </xf>
    <xf numFmtId="9" fontId="23" fillId="7" borderId="11" xfId="0" applyNumberFormat="1" applyFont="1" applyFill="1" applyBorder="1" applyAlignment="1">
      <alignment horizontal="right"/>
    </xf>
    <xf numFmtId="0" fontId="4" fillId="0" borderId="20" xfId="0" applyFont="1" applyBorder="1" applyAlignment="1">
      <alignment wrapText="1"/>
    </xf>
    <xf numFmtId="9" fontId="2" fillId="27" borderId="1" xfId="0" applyNumberFormat="1" applyFont="1" applyFill="1" applyBorder="1"/>
    <xf numFmtId="0" fontId="23" fillId="12" borderId="1" xfId="0" applyFont="1" applyFill="1" applyBorder="1"/>
    <xf numFmtId="0" fontId="4" fillId="0" borderId="30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3" fillId="24" borderId="10" xfId="0" applyFont="1" applyFill="1" applyBorder="1" applyAlignment="1">
      <alignment horizontal="left" wrapText="1"/>
    </xf>
    <xf numFmtId="0" fontId="15" fillId="24" borderId="13" xfId="0" applyFont="1" applyFill="1" applyBorder="1" applyAlignment="1">
      <alignment wrapText="1"/>
    </xf>
    <xf numFmtId="0" fontId="15" fillId="24" borderId="23" xfId="0" applyFont="1" applyFill="1" applyBorder="1" applyAlignment="1">
      <alignment wrapText="1"/>
    </xf>
    <xf numFmtId="164" fontId="3" fillId="24" borderId="10" xfId="0" applyNumberFormat="1" applyFont="1" applyFill="1" applyBorder="1" applyAlignment="1">
      <alignment horizontal="left" wrapText="1"/>
    </xf>
    <xf numFmtId="0" fontId="3" fillId="24" borderId="13" xfId="0" applyFont="1" applyFill="1" applyBorder="1" applyAlignment="1">
      <alignment horizontal="left" wrapText="1"/>
    </xf>
    <xf numFmtId="0" fontId="3" fillId="24" borderId="23" xfId="0" applyFont="1" applyFill="1" applyBorder="1" applyAlignment="1">
      <alignment horizontal="left" wrapText="1"/>
    </xf>
    <xf numFmtId="0" fontId="15" fillId="24" borderId="13" xfId="0" applyFont="1" applyFill="1" applyBorder="1" applyAlignment="1">
      <alignment horizontal="left" wrapText="1"/>
    </xf>
    <xf numFmtId="0" fontId="15" fillId="24" borderId="23" xfId="0" applyFont="1" applyFill="1" applyBorder="1" applyAlignment="1">
      <alignment horizontal="left" wrapText="1"/>
    </xf>
    <xf numFmtId="0" fontId="12" fillId="24" borderId="10" xfId="0" applyFont="1" applyFill="1" applyBorder="1" applyAlignment="1">
      <alignment horizontal="left" wrapText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233264</xdr:colOff>
      <xdr:row>8</xdr:row>
      <xdr:rowOff>38876</xdr:rowOff>
    </xdr:from>
    <xdr:to>
      <xdr:col>5</xdr:col>
      <xdr:colOff>8351</xdr:colOff>
      <xdr:row>15</xdr:row>
      <xdr:rowOff>121296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8825" y="1613417"/>
          <a:ext cx="2127179" cy="1239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24</xdr:row>
      <xdr:rowOff>114300</xdr:rowOff>
    </xdr:from>
    <xdr:to>
      <xdr:col>10</xdr:col>
      <xdr:colOff>59956</xdr:colOff>
      <xdr:row>44</xdr:row>
      <xdr:rowOff>161155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49" y="4000500"/>
          <a:ext cx="2345957" cy="328535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25</xdr:row>
      <xdr:rowOff>0</xdr:rowOff>
    </xdr:from>
    <xdr:to>
      <xdr:col>14</xdr:col>
      <xdr:colOff>523524</xdr:colOff>
      <xdr:row>40</xdr:row>
      <xdr:rowOff>56839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9850" y="4086225"/>
          <a:ext cx="2809524" cy="2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opLeftCell="A7" zoomScale="98" zoomScaleNormal="98" workbookViewId="0">
      <selection activeCell="C30" sqref="C30"/>
    </sheetView>
  </sheetViews>
  <sheetFormatPr baseColWidth="10" defaultRowHeight="12.75" x14ac:dyDescent="0.2"/>
  <cols>
    <col min="1" max="1" width="3" customWidth="1"/>
    <col min="2" max="2" width="53.28515625" customWidth="1"/>
    <col min="3" max="3" width="12.5703125" customWidth="1"/>
    <col min="4" max="4" width="16.42578125" customWidth="1"/>
    <col min="5" max="5" width="35.28515625" customWidth="1"/>
    <col min="6" max="6" width="7.140625" customWidth="1"/>
    <col min="7" max="7" width="20.5703125" customWidth="1"/>
    <col min="9" max="9" width="14.7109375" customWidth="1"/>
    <col min="10" max="10" width="14.85546875" customWidth="1"/>
    <col min="11" max="11" width="13.7109375" customWidth="1"/>
  </cols>
  <sheetData>
    <row r="1" spans="2:5" ht="13.5" thickBot="1" x14ac:dyDescent="0.25"/>
    <row r="2" spans="2:5" ht="16.5" thickBot="1" x14ac:dyDescent="0.3">
      <c r="B2" s="150" t="s">
        <v>625</v>
      </c>
      <c r="C2" s="178"/>
      <c r="D2" s="25" t="s">
        <v>94</v>
      </c>
      <c r="E2" s="218">
        <v>44096</v>
      </c>
    </row>
    <row r="3" spans="2:5" ht="16.5" thickBot="1" x14ac:dyDescent="0.3">
      <c r="B3" s="6"/>
      <c r="D3" s="25"/>
      <c r="E3" s="131"/>
    </row>
    <row r="4" spans="2:5" x14ac:dyDescent="0.2">
      <c r="B4" s="597" t="s">
        <v>626</v>
      </c>
      <c r="C4" s="598"/>
      <c r="D4" s="598"/>
      <c r="E4" s="599"/>
    </row>
    <row r="5" spans="2:5" ht="15.75" customHeight="1" x14ac:dyDescent="0.2">
      <c r="B5" s="600"/>
      <c r="C5" s="601"/>
      <c r="D5" s="601"/>
      <c r="E5" s="602"/>
    </row>
    <row r="6" spans="2:5" ht="15.75" customHeight="1" x14ac:dyDescent="0.2">
      <c r="B6" s="600"/>
      <c r="C6" s="601"/>
      <c r="D6" s="601"/>
      <c r="E6" s="602"/>
    </row>
    <row r="7" spans="2:5" ht="31.5" customHeight="1" x14ac:dyDescent="0.2">
      <c r="B7" s="600"/>
      <c r="C7" s="601"/>
      <c r="D7" s="601"/>
      <c r="E7" s="602"/>
    </row>
    <row r="8" spans="2:5" ht="29.25" hidden="1" customHeight="1" x14ac:dyDescent="0.2">
      <c r="B8" s="603"/>
      <c r="C8" s="604"/>
      <c r="D8" s="604"/>
      <c r="E8" s="605"/>
    </row>
    <row r="9" spans="2:5" x14ac:dyDescent="0.2">
      <c r="B9" s="1"/>
      <c r="E9" s="37"/>
    </row>
    <row r="10" spans="2:5" x14ac:dyDescent="0.2">
      <c r="B10" s="39" t="s">
        <v>75</v>
      </c>
      <c r="C10" s="515" t="s">
        <v>86</v>
      </c>
      <c r="D10" s="25"/>
      <c r="E10" s="514"/>
    </row>
    <row r="11" spans="2:5" x14ac:dyDescent="0.2">
      <c r="B11" s="39" t="s">
        <v>339</v>
      </c>
      <c r="C11" s="217"/>
      <c r="E11" s="37"/>
    </row>
    <row r="12" spans="2:5" x14ac:dyDescent="0.2">
      <c r="B12" s="38" t="s">
        <v>80</v>
      </c>
      <c r="C12" s="189"/>
      <c r="D12" s="25"/>
      <c r="E12" s="240"/>
    </row>
    <row r="13" spans="2:5" x14ac:dyDescent="0.2">
      <c r="B13" s="39" t="s">
        <v>90</v>
      </c>
      <c r="C13" s="116"/>
      <c r="E13" s="37"/>
    </row>
    <row r="14" spans="2:5" x14ac:dyDescent="0.2">
      <c r="B14" s="89" t="s">
        <v>96</v>
      </c>
      <c r="C14" s="188"/>
      <c r="D14" s="25"/>
      <c r="E14" s="216"/>
    </row>
    <row r="15" spans="2:5" x14ac:dyDescent="0.2">
      <c r="B15" s="63"/>
      <c r="C15" s="588"/>
      <c r="E15" s="37"/>
    </row>
    <row r="16" spans="2:5" x14ac:dyDescent="0.2">
      <c r="B16" s="182"/>
      <c r="C16" s="102"/>
      <c r="E16" s="122"/>
    </row>
    <row r="17" spans="2:12" ht="30" customHeight="1" x14ac:dyDescent="0.2">
      <c r="B17" s="152" t="s">
        <v>229</v>
      </c>
      <c r="C17" s="171" t="s">
        <v>144</v>
      </c>
      <c r="D17" s="304" t="str">
        <f>B2</f>
        <v>Fiat C. 29</v>
      </c>
      <c r="E17" s="151"/>
    </row>
    <row r="18" spans="2:12" ht="15" customHeight="1" x14ac:dyDescent="0.2">
      <c r="B18" s="175" t="s">
        <v>194</v>
      </c>
      <c r="C18" s="138"/>
      <c r="D18" s="198" t="s">
        <v>94</v>
      </c>
      <c r="E18" s="307">
        <f>E2</f>
        <v>44096</v>
      </c>
    </row>
    <row r="19" spans="2:12" x14ac:dyDescent="0.2">
      <c r="B19" s="38"/>
      <c r="C19" s="94"/>
      <c r="D19" s="94"/>
      <c r="E19" s="94"/>
    </row>
    <row r="20" spans="2:12" x14ac:dyDescent="0.2">
      <c r="B20" s="77" t="s">
        <v>88</v>
      </c>
      <c r="C20" s="87" t="s">
        <v>0</v>
      </c>
      <c r="D20" s="87" t="s">
        <v>1</v>
      </c>
      <c r="E20" s="87" t="s">
        <v>2</v>
      </c>
    </row>
    <row r="21" spans="2:12" x14ac:dyDescent="0.2">
      <c r="B21" s="38"/>
      <c r="C21" s="38"/>
      <c r="D21" s="38"/>
      <c r="E21" s="38"/>
    </row>
    <row r="22" spans="2:12" x14ac:dyDescent="0.2">
      <c r="B22" s="82" t="str">
        <f>'Rumpf &amp; Seitenleitwerk'!B82</f>
        <v>Rumpf, mit Seitensteuer, lackiert</v>
      </c>
      <c r="C22" s="196">
        <f>'Rumpf &amp; Seitenleitwerk'!F83</f>
        <v>356.34432000000004</v>
      </c>
      <c r="D22" s="197">
        <f>'Rumpf &amp; Seitenleitwerk'!F87</f>
        <v>506.73257146346543</v>
      </c>
      <c r="E22" s="85">
        <f>C22*D22</f>
        <v>180571.27360000001</v>
      </c>
    </row>
    <row r="23" spans="2:12" x14ac:dyDescent="0.2">
      <c r="B23" s="82" t="str">
        <f>'Tragfläche &amp; Klappen'!B91</f>
        <v>Tragfläche mit Klappen, lackiert</v>
      </c>
      <c r="C23" s="196">
        <f>'Tragfläche &amp; Klappen'!F92</f>
        <v>476.70790999999997</v>
      </c>
      <c r="D23" s="197">
        <f>'Tragfläche &amp; Klappen'!G96</f>
        <v>445.19676778595937</v>
      </c>
      <c r="E23" s="85">
        <f t="shared" ref="E23:E33" si="0">C23*D23</f>
        <v>212228.82071</v>
      </c>
    </row>
    <row r="24" spans="2:12" x14ac:dyDescent="0.2">
      <c r="B24" s="82" t="str">
        <f>Höhenleitwerk!B47</f>
        <v>Höhenleitwerk, lackiert</v>
      </c>
      <c r="C24" s="196">
        <f>Höhenleitwerk!F57</f>
        <v>129.2302</v>
      </c>
      <c r="D24" s="197">
        <f>Höhenleitwerk!G61</f>
        <v>994.22396931986486</v>
      </c>
      <c r="E24" s="85">
        <f t="shared" si="0"/>
        <v>128483.76239999999</v>
      </c>
      <c r="G24" s="9"/>
      <c r="H24" s="9"/>
      <c r="I24" s="9"/>
      <c r="J24" s="9"/>
      <c r="K24" s="9"/>
    </row>
    <row r="25" spans="2:12" x14ac:dyDescent="0.2">
      <c r="B25" s="82" t="s">
        <v>322</v>
      </c>
      <c r="C25" s="196">
        <f>'Antrieb, Fahrwerk, Momente'!E42</f>
        <v>730</v>
      </c>
      <c r="D25" s="197">
        <f>'Antrieb, Fahrwerk, Momente'!F43</f>
        <v>130.62328767123287</v>
      </c>
      <c r="E25" s="85">
        <f t="shared" si="0"/>
        <v>95355</v>
      </c>
      <c r="F25" s="24"/>
      <c r="G25" s="9"/>
      <c r="H25" s="159"/>
      <c r="I25" s="159"/>
      <c r="J25" s="159"/>
      <c r="K25" s="159"/>
    </row>
    <row r="26" spans="2:12" x14ac:dyDescent="0.2">
      <c r="B26" s="82" t="str">
        <f>Gewichte!B47</f>
        <v>Fahrwerk CFK Meizlik, &amp; Achsen</v>
      </c>
      <c r="C26" s="196">
        <f>Gewichte!C47</f>
        <v>44</v>
      </c>
      <c r="D26" s="194">
        <f>'Antrieb, Fahrwerk, Momente'!F66</f>
        <v>283</v>
      </c>
      <c r="E26" s="85">
        <f t="shared" si="0"/>
        <v>12452</v>
      </c>
      <c r="G26" s="9"/>
      <c r="H26" s="159"/>
      <c r="I26" s="221"/>
      <c r="J26" s="160"/>
      <c r="K26" s="160"/>
    </row>
    <row r="27" spans="2:12" x14ac:dyDescent="0.2">
      <c r="B27" s="82" t="str">
        <f>'Antrieb, Fahrwerk, Momente'!B68</f>
        <v>Heckfahrwerk 1.5 mm, inkl. Rad</v>
      </c>
      <c r="C27" s="196">
        <f>'Antrieb, Fahrwerk, Momente'!E68</f>
        <v>3</v>
      </c>
      <c r="D27" s="194">
        <f>'Antrieb, Fahrwerk, Momente'!F68</f>
        <v>1080</v>
      </c>
      <c r="E27" s="85">
        <f t="shared" si="0"/>
        <v>3240</v>
      </c>
      <c r="G27" s="9"/>
      <c r="H27" s="159"/>
      <c r="I27" s="159"/>
      <c r="J27" s="159"/>
      <c r="K27" s="159"/>
    </row>
    <row r="28" spans="2:12" x14ac:dyDescent="0.2">
      <c r="B28" s="82" t="str">
        <f>Gewichte!B57</f>
        <v>Räder Graupner AIR-UL 55 x 22 mm (2)</v>
      </c>
      <c r="C28" s="228">
        <f>Gewichte!C57</f>
        <v>27</v>
      </c>
      <c r="D28" s="229">
        <f>'Antrieb, Fahrwerk, Momente'!F65</f>
        <v>283</v>
      </c>
      <c r="E28" s="85">
        <f t="shared" si="0"/>
        <v>7641</v>
      </c>
      <c r="G28" s="9"/>
      <c r="H28" s="159"/>
      <c r="I28" s="159"/>
      <c r="J28" s="159"/>
      <c r="K28" s="159"/>
    </row>
    <row r="29" spans="2:12" x14ac:dyDescent="0.2">
      <c r="B29" s="82" t="s">
        <v>165</v>
      </c>
      <c r="C29" s="241">
        <f>Gewichte!C72/2</f>
        <v>18</v>
      </c>
      <c r="D29" s="228">
        <f>Abmessungen!B21+Abmessungen!B43-Abmessungen!B35</f>
        <v>365</v>
      </c>
      <c r="E29" s="85">
        <f t="shared" si="0"/>
        <v>6570</v>
      </c>
      <c r="G29" s="9"/>
      <c r="H29" s="159"/>
      <c r="I29" s="9"/>
      <c r="J29" s="9"/>
      <c r="K29" s="9"/>
    </row>
    <row r="30" spans="2:12" x14ac:dyDescent="0.2">
      <c r="B30" s="82" t="s">
        <v>56</v>
      </c>
      <c r="C30" s="233">
        <v>20</v>
      </c>
      <c r="D30" s="212">
        <f>'Antrieb, Fahrwerk, Momente'!F68</f>
        <v>1080</v>
      </c>
      <c r="E30" s="85">
        <f t="shared" si="0"/>
        <v>21600</v>
      </c>
      <c r="G30" s="9"/>
      <c r="H30" s="220"/>
      <c r="I30" s="159"/>
      <c r="J30" s="159"/>
      <c r="L30" s="220"/>
    </row>
    <row r="31" spans="2:12" x14ac:dyDescent="0.2">
      <c r="B31" s="82" t="s">
        <v>57</v>
      </c>
      <c r="C31" s="233">
        <v>0</v>
      </c>
      <c r="D31" s="308">
        <v>40</v>
      </c>
      <c r="E31" s="85">
        <f t="shared" si="0"/>
        <v>0</v>
      </c>
      <c r="F31" s="169"/>
    </row>
    <row r="32" spans="2:12" ht="15" customHeight="1" x14ac:dyDescent="0.2">
      <c r="B32" s="72" t="s">
        <v>321</v>
      </c>
      <c r="C32" s="587">
        <v>2</v>
      </c>
      <c r="D32" s="500">
        <f>D29</f>
        <v>365</v>
      </c>
      <c r="E32" s="85">
        <f t="shared" si="0"/>
        <v>730</v>
      </c>
    </row>
    <row r="33" spans="2:7" x14ac:dyDescent="0.2">
      <c r="B33" s="82" t="str">
        <f>Gewichte!B101</f>
        <v>Schrauben &amp; Diverses</v>
      </c>
      <c r="C33" s="215">
        <f>Gewichte!C101</f>
        <v>18</v>
      </c>
      <c r="D33" s="308">
        <v>480</v>
      </c>
      <c r="E33" s="85">
        <f t="shared" si="0"/>
        <v>8640</v>
      </c>
      <c r="F33" s="170"/>
    </row>
    <row r="34" spans="2:7" x14ac:dyDescent="0.2">
      <c r="B34" s="82"/>
      <c r="C34" s="38"/>
      <c r="D34" s="38"/>
      <c r="E34" s="85"/>
    </row>
    <row r="35" spans="2:7" ht="15.75" x14ac:dyDescent="0.25">
      <c r="B35" s="69" t="s">
        <v>84</v>
      </c>
      <c r="C35" s="573">
        <f>SUM(C22:C33)</f>
        <v>1824.28243</v>
      </c>
      <c r="D35" s="76"/>
      <c r="E35" s="85">
        <f>SUM(E22:E33)</f>
        <v>677511.85670999996</v>
      </c>
    </row>
    <row r="36" spans="2:7" x14ac:dyDescent="0.2">
      <c r="B36" s="72" t="s">
        <v>85</v>
      </c>
      <c r="C36" s="516">
        <f>C35/Gewichte!C143</f>
        <v>64.348586596119929</v>
      </c>
      <c r="D36" s="76"/>
      <c r="E36" s="85"/>
      <c r="F36" s="214"/>
      <c r="G36" s="2"/>
    </row>
    <row r="37" spans="2:7" x14ac:dyDescent="0.2">
      <c r="B37" s="82"/>
      <c r="C37" s="76"/>
      <c r="D37" s="76"/>
      <c r="E37" s="85"/>
    </row>
    <row r="38" spans="2:7" x14ac:dyDescent="0.2">
      <c r="B38" s="82"/>
      <c r="C38" s="76"/>
      <c r="D38" s="76"/>
      <c r="E38" s="582"/>
    </row>
    <row r="39" spans="2:7" x14ac:dyDescent="0.2">
      <c r="B39" s="79" t="s">
        <v>551</v>
      </c>
      <c r="C39" s="76"/>
      <c r="D39" s="76"/>
      <c r="E39" s="85"/>
    </row>
    <row r="40" spans="2:7" ht="13.5" thickBot="1" x14ac:dyDescent="0.25">
      <c r="B40" s="345" t="s">
        <v>197</v>
      </c>
      <c r="C40" s="574">
        <f>E35/C35</f>
        <v>371.38539820832455</v>
      </c>
      <c r="D40" s="429" t="s">
        <v>258</v>
      </c>
      <c r="E40" s="77"/>
    </row>
    <row r="41" spans="2:7" ht="13.5" thickBot="1" x14ac:dyDescent="0.25">
      <c r="B41" s="344" t="s">
        <v>340</v>
      </c>
      <c r="C41" s="592">
        <f>(Abmessungen!B21+Abmessungen!B43)-C40</f>
        <v>175.61460179167545</v>
      </c>
      <c r="D41" s="575">
        <f>C41/25.4</f>
        <v>6.9139607004596639</v>
      </c>
      <c r="E41" s="181" t="s">
        <v>644</v>
      </c>
    </row>
    <row r="42" spans="2:7" ht="13.5" thickBot="1" x14ac:dyDescent="0.25">
      <c r="B42" s="594" t="s">
        <v>652</v>
      </c>
      <c r="C42" s="593">
        <f>(Abmessungen!B51-Abmessungen!B45-Schwerpunktrechnung!C41)/Abmessungen!B51</f>
        <v>0.2067993089326183</v>
      </c>
      <c r="D42" s="591"/>
      <c r="E42" s="38"/>
      <c r="F42" s="2"/>
    </row>
    <row r="43" spans="2:7" x14ac:dyDescent="0.2">
      <c r="B43" s="346"/>
      <c r="C43" s="347"/>
      <c r="D43" s="311"/>
      <c r="E43" s="284"/>
      <c r="F43" s="2"/>
    </row>
    <row r="44" spans="2:7" x14ac:dyDescent="0.2">
      <c r="B44" s="79" t="s">
        <v>337</v>
      </c>
      <c r="C44" s="429" t="s">
        <v>87</v>
      </c>
      <c r="D44" s="429" t="s">
        <v>83</v>
      </c>
      <c r="E44" s="38"/>
      <c r="F44" s="2"/>
    </row>
    <row r="45" spans="2:7" x14ac:dyDescent="0.2">
      <c r="B45" s="82" t="s">
        <v>58</v>
      </c>
      <c r="C45" s="528">
        <f>'Rumpf &amp; Seitenleitwerk'!F39+'Rumpf &amp; Seitenleitwerk'!F67+Höhenleitwerk!F35+'Tragfläche &amp; Klappen'!F42+'Tragfläche &amp; Klappen'!F76</f>
        <v>753.66193999999996</v>
      </c>
      <c r="D45" s="516">
        <f>C45/28.35</f>
        <v>26.58419541446208</v>
      </c>
      <c r="E45" s="38"/>
      <c r="F45" s="2"/>
    </row>
    <row r="46" spans="2:7" x14ac:dyDescent="0.2">
      <c r="B46" s="82" t="s">
        <v>59</v>
      </c>
      <c r="C46" s="528">
        <f>'Rumpf &amp; Seitenleitwerk'!F50+'Rumpf &amp; Seitenleitwerk'!F74+Höhenleitwerk!F45+'Tragfläche &amp; Klappen'!F52+'Tragfläche &amp; Klappen'!F84</f>
        <v>208.62048999999999</v>
      </c>
      <c r="D46" s="516">
        <f>C46/28.35</f>
        <v>7.3587474426807749</v>
      </c>
      <c r="E46" s="38"/>
    </row>
    <row r="47" spans="2:7" x14ac:dyDescent="0.2">
      <c r="B47" s="82" t="s">
        <v>52</v>
      </c>
      <c r="C47" s="528">
        <f>C25+C26+C27+C28</f>
        <v>804</v>
      </c>
      <c r="D47" s="516">
        <f>C47/28.35</f>
        <v>28.359788359788357</v>
      </c>
      <c r="E47" s="38"/>
    </row>
    <row r="48" spans="2:7" x14ac:dyDescent="0.2">
      <c r="B48" s="72" t="s">
        <v>587</v>
      </c>
      <c r="C48" s="528">
        <f>C29+C30+C31+C32+C33</f>
        <v>58</v>
      </c>
      <c r="D48" s="516">
        <f>C48/28.35</f>
        <v>2.0458553791887124</v>
      </c>
      <c r="E48" s="38"/>
    </row>
    <row r="49" spans="2:10" x14ac:dyDescent="0.2">
      <c r="B49" s="82"/>
      <c r="C49" s="183"/>
      <c r="D49" s="256"/>
      <c r="E49" s="38"/>
    </row>
    <row r="50" spans="2:10" x14ac:dyDescent="0.2">
      <c r="B50" s="82"/>
      <c r="C50" s="86">
        <f>C45+C46+C47+C48</f>
        <v>1824.28243</v>
      </c>
      <c r="D50" s="256"/>
      <c r="E50" s="38"/>
    </row>
    <row r="51" spans="2:10" x14ac:dyDescent="0.2">
      <c r="B51" s="38"/>
      <c r="C51" s="104"/>
      <c r="D51" s="104"/>
      <c r="E51" s="38"/>
    </row>
    <row r="52" spans="2:10" x14ac:dyDescent="0.2">
      <c r="B52" s="38" t="s">
        <v>105</v>
      </c>
      <c r="C52" s="516">
        <f>Schwerpunktrechnung!C35/Abmessungen!B12</f>
        <v>43.512997734048895</v>
      </c>
      <c r="D52" s="76"/>
      <c r="E52" s="38"/>
    </row>
    <row r="53" spans="2:10" x14ac:dyDescent="0.2">
      <c r="B53" s="38" t="s">
        <v>106</v>
      </c>
      <c r="C53" s="2"/>
      <c r="D53" s="576">
        <f>C36/(Abmessungen!B12/Gewichte!C147)</f>
        <v>14.258756576695385</v>
      </c>
      <c r="E53" s="38"/>
    </row>
    <row r="54" spans="2:10" x14ac:dyDescent="0.2">
      <c r="B54" s="38" t="s">
        <v>166</v>
      </c>
      <c r="C54" s="528">
        <f>C29+C32</f>
        <v>20</v>
      </c>
      <c r="D54" s="516">
        <f>C54/28.35</f>
        <v>0.70546737213403876</v>
      </c>
      <c r="E54" s="38"/>
    </row>
    <row r="56" spans="2:10" x14ac:dyDescent="0.2">
      <c r="B56" s="32"/>
      <c r="E56" s="20"/>
    </row>
    <row r="57" spans="2:10" ht="13.5" customHeight="1" x14ac:dyDescent="0.2">
      <c r="D57" s="162"/>
      <c r="J57" s="222"/>
    </row>
    <row r="58" spans="2:10" x14ac:dyDescent="0.2">
      <c r="C58" s="162"/>
    </row>
  </sheetData>
  <mergeCells count="1">
    <mergeCell ref="B4:E8"/>
  </mergeCells>
  <phoneticPr fontId="1" type="noConversion"/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="96" zoomScaleNormal="96" workbookViewId="0">
      <selection activeCell="B56" sqref="B56"/>
    </sheetView>
  </sheetViews>
  <sheetFormatPr baseColWidth="10" defaultRowHeight="12.75" x14ac:dyDescent="0.2"/>
  <cols>
    <col min="1" max="1" width="3.28515625" customWidth="1"/>
    <col min="2" max="2" width="47.85546875" customWidth="1"/>
    <col min="3" max="3" width="13.7109375" customWidth="1"/>
    <col min="4" max="4" width="36" customWidth="1"/>
    <col min="5" max="5" width="33.140625" customWidth="1"/>
  </cols>
  <sheetData>
    <row r="1" spans="1:5" ht="13.5" thickBot="1" x14ac:dyDescent="0.25">
      <c r="A1" s="2"/>
    </row>
    <row r="2" spans="1:5" ht="16.5" thickBot="1" x14ac:dyDescent="0.3">
      <c r="B2" s="457" t="str">
        <f>Schwerpunktrechnung!B2</f>
        <v>Fiat C. 29</v>
      </c>
      <c r="C2" s="178"/>
      <c r="D2" s="25"/>
      <c r="E2" s="496">
        <f>Schwerpunktrechnung!E2</f>
        <v>44096</v>
      </c>
    </row>
    <row r="3" spans="1:5" ht="15.75" x14ac:dyDescent="0.25">
      <c r="B3" s="6"/>
      <c r="D3" s="25"/>
      <c r="E3" s="131"/>
    </row>
    <row r="4" spans="1:5" x14ac:dyDescent="0.2">
      <c r="B4" s="601" t="s">
        <v>276</v>
      </c>
      <c r="C4" s="601"/>
      <c r="D4" s="601"/>
      <c r="E4" s="601"/>
    </row>
    <row r="5" spans="1:5" ht="8.25" customHeight="1" x14ac:dyDescent="0.2">
      <c r="B5" s="601"/>
      <c r="C5" s="601"/>
      <c r="D5" s="601"/>
      <c r="E5" s="601"/>
    </row>
    <row r="6" spans="1:5" ht="2.25" customHeight="1" x14ac:dyDescent="0.2">
      <c r="B6" s="601"/>
      <c r="C6" s="601"/>
      <c r="D6" s="601"/>
      <c r="E6" s="601"/>
    </row>
    <row r="7" spans="1:5" hidden="1" x14ac:dyDescent="0.2">
      <c r="B7" s="601"/>
      <c r="C7" s="601"/>
      <c r="D7" s="601"/>
      <c r="E7" s="601"/>
    </row>
    <row r="8" spans="1:5" hidden="1" x14ac:dyDescent="0.2">
      <c r="B8" s="601"/>
      <c r="C8" s="601"/>
      <c r="D8" s="601"/>
      <c r="E8" s="601"/>
    </row>
    <row r="9" spans="1:5" x14ac:dyDescent="0.2">
      <c r="B9" s="1"/>
      <c r="E9" s="428" t="s">
        <v>386</v>
      </c>
    </row>
    <row r="10" spans="1:5" x14ac:dyDescent="0.2">
      <c r="B10" s="39" t="s">
        <v>75</v>
      </c>
      <c r="C10" s="219" t="s">
        <v>324</v>
      </c>
      <c r="D10" s="429" t="s">
        <v>387</v>
      </c>
      <c r="E10" s="430">
        <v>101971.62</v>
      </c>
    </row>
    <row r="11" spans="1:5" x14ac:dyDescent="0.2">
      <c r="B11" s="39" t="s">
        <v>95</v>
      </c>
      <c r="C11" s="217"/>
      <c r="D11" s="429" t="s">
        <v>388</v>
      </c>
      <c r="E11" s="431">
        <v>10197.16</v>
      </c>
    </row>
    <row r="12" spans="1:5" x14ac:dyDescent="0.2">
      <c r="B12" s="38" t="s">
        <v>80</v>
      </c>
      <c r="C12" s="189"/>
      <c r="D12" s="429" t="s">
        <v>390</v>
      </c>
      <c r="E12" s="78">
        <v>0.98</v>
      </c>
    </row>
    <row r="13" spans="1:5" x14ac:dyDescent="0.2">
      <c r="B13" s="39" t="s">
        <v>90</v>
      </c>
      <c r="C13" s="116"/>
      <c r="D13" s="429" t="s">
        <v>389</v>
      </c>
      <c r="E13" s="78">
        <v>1.02</v>
      </c>
    </row>
    <row r="14" spans="1:5" x14ac:dyDescent="0.2">
      <c r="B14" s="89" t="s">
        <v>96</v>
      </c>
      <c r="C14" s="188"/>
      <c r="D14" s="115"/>
      <c r="E14" s="432"/>
    </row>
    <row r="15" spans="1:5" x14ac:dyDescent="0.2">
      <c r="B15" s="93"/>
      <c r="C15" s="102"/>
      <c r="E15" s="37"/>
    </row>
    <row r="16" spans="1:5" x14ac:dyDescent="0.2">
      <c r="B16" s="182"/>
      <c r="C16" s="102"/>
      <c r="E16" s="122"/>
    </row>
    <row r="17" spans="2:9" ht="15.75" x14ac:dyDescent="0.2">
      <c r="B17" s="152" t="s">
        <v>277</v>
      </c>
      <c r="C17" s="171"/>
      <c r="D17" s="304" t="str">
        <f>B2</f>
        <v>Fiat C. 29</v>
      </c>
      <c r="E17" s="470">
        <f>E2</f>
        <v>44096</v>
      </c>
    </row>
    <row r="18" spans="2:9" x14ac:dyDescent="0.2">
      <c r="B18" s="175"/>
      <c r="C18" s="138"/>
      <c r="D18" s="198"/>
      <c r="E18" s="38"/>
    </row>
    <row r="19" spans="2:9" x14ac:dyDescent="0.2">
      <c r="B19" s="72" t="s">
        <v>0</v>
      </c>
      <c r="C19" s="249">
        <f>Schwerpunktrechnung!C35</f>
        <v>1824.28243</v>
      </c>
      <c r="D19" s="254"/>
      <c r="E19" s="85"/>
    </row>
    <row r="20" spans="2:9" x14ac:dyDescent="0.2">
      <c r="B20" s="72" t="s">
        <v>288</v>
      </c>
      <c r="C20" s="255">
        <v>20.75</v>
      </c>
      <c r="D20" s="254"/>
      <c r="E20" s="85"/>
    </row>
    <row r="21" spans="2:9" x14ac:dyDescent="0.2">
      <c r="B21" s="72" t="s">
        <v>278</v>
      </c>
      <c r="C21" s="252">
        <v>5.15</v>
      </c>
      <c r="D21" s="254"/>
      <c r="E21" s="85"/>
    </row>
    <row r="22" spans="2:9" x14ac:dyDescent="0.2">
      <c r="B22" s="72" t="s">
        <v>279</v>
      </c>
      <c r="C22" s="246">
        <f>(C20*2*3.1416)/C21</f>
        <v>25.315805825242716</v>
      </c>
      <c r="D22" s="254"/>
      <c r="E22" s="85"/>
      <c r="I22" s="34"/>
    </row>
    <row r="23" spans="2:9" x14ac:dyDescent="0.2">
      <c r="B23" s="72" t="s">
        <v>280</v>
      </c>
      <c r="C23" s="246">
        <f>((C19*0.001)*(C22*C22))/C20</f>
        <v>56.345272838848359</v>
      </c>
      <c r="D23" s="258"/>
      <c r="E23" s="85"/>
    </row>
    <row r="24" spans="2:9" x14ac:dyDescent="0.2">
      <c r="B24" s="72" t="s">
        <v>282</v>
      </c>
      <c r="C24" s="246">
        <f>C23*E12*0.1</f>
        <v>5.5218367382071394</v>
      </c>
      <c r="D24" s="258"/>
      <c r="E24" s="85"/>
    </row>
    <row r="25" spans="2:9" x14ac:dyDescent="0.2">
      <c r="B25" s="72" t="s">
        <v>281</v>
      </c>
      <c r="C25" s="253">
        <f>C24/(C19*0.001)</f>
        <v>3.0268540919988687</v>
      </c>
      <c r="D25" s="258"/>
      <c r="E25" s="85"/>
      <c r="I25" s="34"/>
    </row>
    <row r="26" spans="2:9" x14ac:dyDescent="0.2">
      <c r="B26" s="72"/>
      <c r="C26" s="300"/>
      <c r="D26" s="258"/>
      <c r="E26" s="85"/>
      <c r="I26" s="34"/>
    </row>
    <row r="27" spans="2:9" x14ac:dyDescent="0.2">
      <c r="B27" s="82"/>
      <c r="C27" s="256"/>
      <c r="D27" s="104"/>
      <c r="E27" s="85"/>
    </row>
    <row r="28" spans="2:9" x14ac:dyDescent="0.2">
      <c r="B28" s="79" t="s">
        <v>649</v>
      </c>
      <c r="C28" s="257"/>
      <c r="D28" s="104"/>
      <c r="E28" s="85"/>
    </row>
    <row r="29" spans="2:9" x14ac:dyDescent="0.2">
      <c r="B29" s="72"/>
      <c r="C29" s="257"/>
      <c r="D29" s="104"/>
      <c r="E29" s="85"/>
    </row>
    <row r="30" spans="2:9" x14ac:dyDescent="0.2">
      <c r="B30" s="72" t="s">
        <v>283</v>
      </c>
      <c r="C30" s="233">
        <v>9400</v>
      </c>
      <c r="D30" s="104"/>
      <c r="E30" s="85"/>
    </row>
    <row r="31" spans="2:9" x14ac:dyDescent="0.2">
      <c r="B31" s="72" t="s">
        <v>316</v>
      </c>
      <c r="C31" s="234">
        <v>0.5</v>
      </c>
      <c r="D31" s="174"/>
      <c r="E31" s="85"/>
    </row>
    <row r="32" spans="2:9" x14ac:dyDescent="0.2">
      <c r="B32" s="72" t="s">
        <v>314</v>
      </c>
      <c r="C32" s="266">
        <f>C31*(9551/C30)</f>
        <v>0.50803191489361699</v>
      </c>
      <c r="D32" s="85" t="s">
        <v>422</v>
      </c>
      <c r="E32" s="38"/>
    </row>
    <row r="33" spans="2:5" x14ac:dyDescent="0.2">
      <c r="B33" s="72" t="s">
        <v>315</v>
      </c>
      <c r="C33" s="299">
        <v>190</v>
      </c>
      <c r="D33" s="259" t="s">
        <v>423</v>
      </c>
      <c r="E33" s="200" t="s">
        <v>426</v>
      </c>
    </row>
    <row r="34" spans="2:5" x14ac:dyDescent="0.2">
      <c r="B34" s="72" t="s">
        <v>297</v>
      </c>
      <c r="C34" s="299">
        <v>1937</v>
      </c>
      <c r="D34" s="174"/>
      <c r="E34" s="85"/>
    </row>
    <row r="35" spans="2:5" x14ac:dyDescent="0.2">
      <c r="B35" s="76" t="s">
        <v>359</v>
      </c>
      <c r="C35" s="299">
        <v>19374</v>
      </c>
      <c r="D35" s="174"/>
      <c r="E35" s="85"/>
    </row>
    <row r="36" spans="2:5" x14ac:dyDescent="0.2">
      <c r="B36" s="72" t="s">
        <v>300</v>
      </c>
      <c r="C36" s="279">
        <v>158</v>
      </c>
      <c r="D36" s="174" t="s">
        <v>409</v>
      </c>
      <c r="E36" s="85" t="s">
        <v>612</v>
      </c>
    </row>
    <row r="37" spans="2:5" x14ac:dyDescent="0.2">
      <c r="B37" s="72" t="s">
        <v>317</v>
      </c>
      <c r="C37" s="190">
        <f>C41-C39-C38</f>
        <v>286.87499999999994</v>
      </c>
      <c r="E37" s="85"/>
    </row>
    <row r="38" spans="2:5" x14ac:dyDescent="0.2">
      <c r="B38" s="72" t="s">
        <v>513</v>
      </c>
      <c r="C38" s="279">
        <f>Formeln!C45+Formeln!F45</f>
        <v>56.61</v>
      </c>
      <c r="D38" s="281"/>
      <c r="E38" s="200"/>
    </row>
    <row r="39" spans="2:5" x14ac:dyDescent="0.2">
      <c r="B39" s="72" t="s">
        <v>546</v>
      </c>
      <c r="C39" s="279">
        <f>Formeln!C33</f>
        <v>45.326250000000002</v>
      </c>
      <c r="D39" s="281"/>
      <c r="E39" s="200"/>
    </row>
    <row r="40" spans="2:5" x14ac:dyDescent="0.2">
      <c r="B40" s="72" t="s">
        <v>547</v>
      </c>
      <c r="C40" s="279">
        <f>Formeln!C21</f>
        <v>286.875</v>
      </c>
      <c r="D40" s="174" t="s">
        <v>548</v>
      </c>
      <c r="E40" s="200"/>
    </row>
    <row r="41" spans="2:5" x14ac:dyDescent="0.2">
      <c r="B41" s="72" t="s">
        <v>318</v>
      </c>
      <c r="C41" s="190">
        <f>C38+C39+C40</f>
        <v>388.81124999999997</v>
      </c>
      <c r="E41" s="38"/>
    </row>
    <row r="42" spans="2:5" x14ac:dyDescent="0.2">
      <c r="B42" s="274" t="s">
        <v>319</v>
      </c>
      <c r="C42" s="275">
        <f>C36+C41</f>
        <v>546.81124999999997</v>
      </c>
      <c r="D42" s="38"/>
      <c r="E42" s="85"/>
    </row>
    <row r="43" spans="2:5" x14ac:dyDescent="0.2">
      <c r="B43" s="72" t="s">
        <v>302</v>
      </c>
      <c r="C43" s="190">
        <f>C42</f>
        <v>546.81124999999997</v>
      </c>
      <c r="D43" s="105"/>
      <c r="E43" s="85"/>
    </row>
    <row r="44" spans="2:5" x14ac:dyDescent="0.2">
      <c r="B44" s="72" t="s">
        <v>299</v>
      </c>
      <c r="C44" s="246">
        <f>E12*(C36+C41)*0.01</f>
        <v>5.358750249999999</v>
      </c>
      <c r="D44" s="174"/>
      <c r="E44" s="85"/>
    </row>
    <row r="45" spans="2:5" x14ac:dyDescent="0.2">
      <c r="B45" s="274" t="s">
        <v>310</v>
      </c>
      <c r="C45" s="306" t="s">
        <v>309</v>
      </c>
      <c r="D45" s="76" t="s">
        <v>308</v>
      </c>
      <c r="E45" s="85"/>
    </row>
    <row r="46" spans="2:5" x14ac:dyDescent="0.2">
      <c r="B46" s="274"/>
      <c r="C46" s="584"/>
      <c r="D46" s="76"/>
      <c r="E46" s="85"/>
    </row>
    <row r="47" spans="2:5" x14ac:dyDescent="0.2">
      <c r="B47" s="274"/>
      <c r="C47" s="584"/>
      <c r="D47" s="76"/>
      <c r="E47" s="85"/>
    </row>
    <row r="48" spans="2:5" x14ac:dyDescent="0.2">
      <c r="B48" s="274" t="s">
        <v>609</v>
      </c>
      <c r="C48" s="401">
        <v>158</v>
      </c>
      <c r="D48" s="76" t="s">
        <v>607</v>
      </c>
      <c r="E48" s="85"/>
    </row>
    <row r="49" spans="2:5" x14ac:dyDescent="0.2">
      <c r="B49" s="274" t="s">
        <v>610</v>
      </c>
      <c r="C49" s="401">
        <v>172</v>
      </c>
      <c r="D49" s="76" t="s">
        <v>608</v>
      </c>
      <c r="E49" s="85"/>
    </row>
    <row r="50" spans="2:5" x14ac:dyDescent="0.2">
      <c r="B50" s="274" t="s">
        <v>606</v>
      </c>
      <c r="C50" s="401">
        <v>331</v>
      </c>
      <c r="D50" s="76" t="s">
        <v>605</v>
      </c>
      <c r="E50" s="85" t="s">
        <v>611</v>
      </c>
    </row>
    <row r="51" spans="2:5" x14ac:dyDescent="0.2">
      <c r="B51" s="72"/>
      <c r="C51" s="265"/>
      <c r="D51" s="105"/>
      <c r="E51" s="85"/>
    </row>
    <row r="52" spans="2:5" x14ac:dyDescent="0.2">
      <c r="B52" s="79" t="s">
        <v>430</v>
      </c>
      <c r="C52" s="265"/>
      <c r="D52" s="105"/>
      <c r="E52" s="85"/>
    </row>
    <row r="53" spans="2:5" x14ac:dyDescent="0.2">
      <c r="B53" s="72" t="s">
        <v>397</v>
      </c>
      <c r="C53" s="228">
        <f>C44*E13*1000</f>
        <v>5465.9252549999992</v>
      </c>
      <c r="D53" s="105"/>
      <c r="E53" s="85"/>
    </row>
    <row r="54" spans="2:5" x14ac:dyDescent="0.2">
      <c r="B54" s="72" t="s">
        <v>398</v>
      </c>
      <c r="C54" s="228">
        <f>'Antrieb, Fahrwerk, Momente'!K93</f>
        <v>33.684654185306684</v>
      </c>
      <c r="D54" s="105"/>
      <c r="E54" s="85"/>
    </row>
    <row r="55" spans="2:5" x14ac:dyDescent="0.2">
      <c r="B55" s="72"/>
      <c r="C55" s="265"/>
      <c r="D55" s="105"/>
      <c r="E55" s="85"/>
    </row>
    <row r="56" spans="2:5" x14ac:dyDescent="0.2">
      <c r="B56" s="79"/>
      <c r="C56" s="38"/>
      <c r="D56" s="105"/>
      <c r="E56" s="85"/>
    </row>
    <row r="57" spans="2:5" x14ac:dyDescent="0.2">
      <c r="B57" s="72" t="s">
        <v>399</v>
      </c>
      <c r="C57" s="449">
        <v>0.17</v>
      </c>
      <c r="D57" s="104" t="s">
        <v>486</v>
      </c>
      <c r="E57" s="264" t="s">
        <v>296</v>
      </c>
    </row>
    <row r="58" spans="2:5" ht="25.5" x14ac:dyDescent="0.2">
      <c r="B58" s="72" t="s">
        <v>385</v>
      </c>
      <c r="C58" s="190">
        <f>C57*E10</f>
        <v>17335.1754</v>
      </c>
      <c r="D58" s="104"/>
      <c r="E58" s="85"/>
    </row>
    <row r="59" spans="2:5" x14ac:dyDescent="0.2">
      <c r="B59" s="72" t="s">
        <v>424</v>
      </c>
      <c r="C59" s="449">
        <v>0.44</v>
      </c>
      <c r="D59" s="104" t="s">
        <v>487</v>
      </c>
      <c r="E59" s="85"/>
    </row>
    <row r="60" spans="2:5" x14ac:dyDescent="0.2">
      <c r="B60" s="72" t="s">
        <v>425</v>
      </c>
      <c r="C60" s="190">
        <f>C59*E10</f>
        <v>44867.512799999997</v>
      </c>
      <c r="D60" s="105"/>
      <c r="E60" s="85"/>
    </row>
    <row r="61" spans="2:5" x14ac:dyDescent="0.2">
      <c r="B61" s="82"/>
      <c r="C61" s="38"/>
      <c r="D61" s="105"/>
      <c r="E61" s="85"/>
    </row>
    <row r="62" spans="2:5" x14ac:dyDescent="0.2">
      <c r="B62" s="70" t="s">
        <v>293</v>
      </c>
      <c r="C62" s="120"/>
      <c r="D62" s="260"/>
      <c r="E62" s="77"/>
    </row>
    <row r="63" spans="2:5" x14ac:dyDescent="0.2">
      <c r="B63" s="72" t="s">
        <v>360</v>
      </c>
      <c r="C63" s="357">
        <v>351</v>
      </c>
      <c r="D63" s="311" t="s">
        <v>338</v>
      </c>
      <c r="E63" s="38"/>
    </row>
    <row r="64" spans="2:5" x14ac:dyDescent="0.2">
      <c r="B64" s="72" t="s">
        <v>361</v>
      </c>
      <c r="C64" s="357">
        <v>346</v>
      </c>
      <c r="D64" s="256" t="s">
        <v>338</v>
      </c>
      <c r="E64" s="38"/>
    </row>
    <row r="65" spans="2:8" x14ac:dyDescent="0.2">
      <c r="B65" s="72"/>
      <c r="C65" s="250"/>
      <c r="D65" s="256"/>
      <c r="E65" s="38"/>
    </row>
    <row r="66" spans="2:8" x14ac:dyDescent="0.2">
      <c r="B66" s="72" t="s">
        <v>290</v>
      </c>
      <c r="C66" s="201">
        <f>C20-(C63/1000)</f>
        <v>20.399000000000001</v>
      </c>
      <c r="D66" s="105"/>
      <c r="E66" s="38"/>
    </row>
    <row r="67" spans="2:8" x14ac:dyDescent="0.2">
      <c r="B67" s="72" t="s">
        <v>343</v>
      </c>
      <c r="C67" s="201">
        <f>C20</f>
        <v>20.75</v>
      </c>
      <c r="D67" s="105"/>
      <c r="E67" s="38"/>
    </row>
    <row r="68" spans="2:8" x14ac:dyDescent="0.2">
      <c r="B68" s="72" t="s">
        <v>291</v>
      </c>
      <c r="C68" s="209">
        <f>C67+(C64*0.001)</f>
        <v>21.096</v>
      </c>
      <c r="D68" s="261"/>
      <c r="E68" s="38"/>
    </row>
    <row r="69" spans="2:8" x14ac:dyDescent="0.2">
      <c r="B69" s="72"/>
      <c r="C69" s="479"/>
      <c r="D69" s="261"/>
      <c r="E69" s="38"/>
    </row>
    <row r="70" spans="2:8" x14ac:dyDescent="0.2">
      <c r="B70" s="72" t="s">
        <v>292</v>
      </c>
      <c r="C70" s="239">
        <f>(C66*2*3.1416)/C21</f>
        <v>24.887572194174759</v>
      </c>
      <c r="D70" s="480" t="s">
        <v>432</v>
      </c>
      <c r="E70" s="38"/>
    </row>
    <row r="71" spans="2:8" x14ac:dyDescent="0.2">
      <c r="B71" s="72" t="s">
        <v>344</v>
      </c>
      <c r="C71" s="239">
        <f>(C67*2*3.1416)/C21</f>
        <v>25.315805825242716</v>
      </c>
      <c r="D71" s="481" t="s">
        <v>433</v>
      </c>
    </row>
    <row r="72" spans="2:8" x14ac:dyDescent="0.2">
      <c r="B72" s="72" t="s">
        <v>289</v>
      </c>
      <c r="C72" s="239">
        <f>(C68*2*3.1416)/C21</f>
        <v>25.737939262135917</v>
      </c>
      <c r="D72" s="480" t="s">
        <v>434</v>
      </c>
      <c r="E72" s="38"/>
      <c r="G72" s="358"/>
      <c r="H72" s="358"/>
    </row>
    <row r="73" spans="2:8" x14ac:dyDescent="0.2">
      <c r="B73" s="72"/>
      <c r="C73" s="263"/>
      <c r="D73" s="132"/>
      <c r="E73" s="38"/>
      <c r="G73" s="227"/>
      <c r="H73" s="227"/>
    </row>
    <row r="74" spans="2:8" x14ac:dyDescent="0.2">
      <c r="B74" s="293" t="s">
        <v>294</v>
      </c>
      <c r="C74" s="275">
        <f>(C75/2)*(0.98 *0.98)</f>
        <v>876.02042288599989</v>
      </c>
      <c r="D74" s="293" t="s">
        <v>345</v>
      </c>
      <c r="E74" s="293"/>
    </row>
    <row r="75" spans="2:8" x14ac:dyDescent="0.2">
      <c r="B75" s="76" t="s">
        <v>431</v>
      </c>
      <c r="C75" s="286">
        <f>Schwerpunktrechnung!C35</f>
        <v>1824.28243</v>
      </c>
      <c r="D75" s="38"/>
      <c r="E75" s="38"/>
    </row>
    <row r="76" spans="2:8" x14ac:dyDescent="0.2">
      <c r="B76" s="76" t="s">
        <v>295</v>
      </c>
      <c r="C76" s="276">
        <f>(C75/2)*(1.016 * 1.016)</f>
        <v>941.56324203104009</v>
      </c>
      <c r="D76" s="38"/>
      <c r="E76" s="76"/>
    </row>
    <row r="79" spans="2:8" x14ac:dyDescent="0.2">
      <c r="D79" s="2"/>
    </row>
  </sheetData>
  <mergeCells count="1">
    <mergeCell ref="B4:E8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9"/>
  <sheetViews>
    <sheetView tabSelected="1" topLeftCell="A10" zoomScale="106" zoomScaleNormal="106" workbookViewId="0">
      <selection activeCell="B31" sqref="B31"/>
    </sheetView>
  </sheetViews>
  <sheetFormatPr baseColWidth="10" defaultRowHeight="12.75" x14ac:dyDescent="0.2"/>
  <cols>
    <col min="1" max="1" width="3.140625" customWidth="1"/>
    <col min="2" max="2" width="45.85546875" customWidth="1"/>
    <col min="3" max="3" width="11.28515625" customWidth="1"/>
    <col min="4" max="4" width="11" customWidth="1"/>
    <col min="5" max="5" width="8.85546875" customWidth="1"/>
    <col min="6" max="6" width="9.42578125" customWidth="1"/>
    <col min="8" max="8" width="3.85546875" customWidth="1"/>
    <col min="9" max="9" width="3.5703125" customWidth="1"/>
    <col min="10" max="10" width="58.42578125" customWidth="1"/>
    <col min="11" max="11" width="12.7109375" customWidth="1"/>
    <col min="12" max="12" width="12.140625" customWidth="1"/>
    <col min="13" max="13" width="13" customWidth="1"/>
    <col min="14" max="14" width="14.5703125" customWidth="1"/>
    <col min="15" max="15" width="10.42578125" customWidth="1"/>
    <col min="16" max="16" width="14.85546875" customWidth="1"/>
  </cols>
  <sheetData>
    <row r="2" spans="2:16" x14ac:dyDescent="0.2">
      <c r="B2" s="39" t="s">
        <v>75</v>
      </c>
      <c r="C2" s="62" t="s">
        <v>86</v>
      </c>
      <c r="F2" s="37"/>
    </row>
    <row r="3" spans="2:16" x14ac:dyDescent="0.2">
      <c r="B3" s="39" t="s">
        <v>95</v>
      </c>
      <c r="C3" s="64"/>
    </row>
    <row r="4" spans="2:16" x14ac:dyDescent="0.2">
      <c r="B4" s="38" t="s">
        <v>80</v>
      </c>
      <c r="C4" s="243"/>
    </row>
    <row r="5" spans="2:16" x14ac:dyDescent="0.2">
      <c r="B5" s="39" t="s">
        <v>90</v>
      </c>
      <c r="C5" s="116"/>
    </row>
    <row r="6" spans="2:16" x14ac:dyDescent="0.2">
      <c r="B6" s="89" t="s">
        <v>96</v>
      </c>
      <c r="C6" s="188"/>
    </row>
    <row r="7" spans="2:16" ht="13.5" thickBot="1" x14ac:dyDescent="0.25"/>
    <row r="8" spans="2:16" ht="42" customHeight="1" thickBot="1" x14ac:dyDescent="0.3">
      <c r="B8" s="75" t="s">
        <v>52</v>
      </c>
      <c r="C8" s="606" t="str">
        <f>Schwerpunktrechnung!B2</f>
        <v>Fiat C. 29</v>
      </c>
      <c r="D8" s="607"/>
      <c r="E8" s="607"/>
      <c r="F8" s="608"/>
      <c r="G8" s="468">
        <f>Schwerpunktrechnung!E2</f>
        <v>44096</v>
      </c>
      <c r="I8" s="8"/>
      <c r="J8" s="464" t="s">
        <v>484</v>
      </c>
      <c r="K8" s="104"/>
      <c r="L8" s="373" t="s">
        <v>352</v>
      </c>
      <c r="M8" s="373" t="s">
        <v>353</v>
      </c>
      <c r="N8" s="270"/>
      <c r="O8" s="319" t="s">
        <v>514</v>
      </c>
      <c r="P8" s="319" t="s">
        <v>350</v>
      </c>
    </row>
    <row r="9" spans="2:16" x14ac:dyDescent="0.2">
      <c r="B9" s="76" t="str">
        <f>Schwerpunktrechnung!B18</f>
        <v>Datum: Rückseite Spinner</v>
      </c>
      <c r="C9" s="42"/>
      <c r="D9" s="158"/>
      <c r="E9" s="158"/>
      <c r="F9" s="141"/>
      <c r="G9" s="94"/>
      <c r="I9" s="9"/>
      <c r="J9" s="181" t="s">
        <v>281</v>
      </c>
      <c r="K9" s="76" t="s">
        <v>284</v>
      </c>
      <c r="L9" s="181" t="s">
        <v>285</v>
      </c>
      <c r="M9" s="76" t="s">
        <v>287</v>
      </c>
      <c r="N9" s="270" t="s">
        <v>286</v>
      </c>
      <c r="O9" s="181" t="s">
        <v>333</v>
      </c>
      <c r="P9" s="273"/>
    </row>
    <row r="10" spans="2:16" x14ac:dyDescent="0.2">
      <c r="B10" s="76"/>
      <c r="C10" s="77"/>
      <c r="D10" s="77"/>
      <c r="E10" s="77"/>
      <c r="F10" s="78"/>
      <c r="G10" s="38"/>
      <c r="I10" s="406"/>
      <c r="J10" s="267">
        <f>'Daten und Rechnungen'!C25</f>
        <v>3.0268540919988687</v>
      </c>
      <c r="K10" s="38"/>
      <c r="L10" s="38"/>
      <c r="M10" s="38"/>
      <c r="N10" s="270"/>
      <c r="O10" s="38"/>
      <c r="P10" s="110"/>
    </row>
    <row r="11" spans="2:16" ht="38.25" x14ac:dyDescent="0.2">
      <c r="B11" s="76"/>
      <c r="C11" s="79" t="s">
        <v>53</v>
      </c>
      <c r="D11" s="79" t="s">
        <v>30</v>
      </c>
      <c r="E11" s="79" t="s">
        <v>0</v>
      </c>
      <c r="F11" s="80" t="s">
        <v>33</v>
      </c>
      <c r="G11" s="81" t="s">
        <v>2</v>
      </c>
      <c r="I11" s="460"/>
      <c r="J11" s="104"/>
      <c r="K11" s="23"/>
      <c r="L11" s="141"/>
      <c r="M11" s="187" t="s">
        <v>354</v>
      </c>
      <c r="N11" s="271"/>
      <c r="O11" s="38"/>
      <c r="P11" s="110"/>
    </row>
    <row r="12" spans="2:16" ht="26.25" thickBot="1" x14ac:dyDescent="0.25">
      <c r="B12" s="77"/>
      <c r="C12" s="77"/>
      <c r="D12" s="77"/>
      <c r="E12" s="77"/>
      <c r="F12" s="78"/>
      <c r="G12" s="38"/>
      <c r="I12" s="461"/>
      <c r="J12" s="309" t="s">
        <v>421</v>
      </c>
      <c r="K12" s="462"/>
      <c r="L12" s="317"/>
      <c r="M12" s="317"/>
      <c r="N12" s="318"/>
      <c r="O12" s="38"/>
      <c r="P12" s="110"/>
    </row>
    <row r="13" spans="2:16" ht="13.5" thickBot="1" x14ac:dyDescent="0.25">
      <c r="B13" s="76" t="str">
        <f>Gewichte!B88</f>
        <v>Propeller Fiala E3 13 x 6 P</v>
      </c>
      <c r="C13" s="235">
        <v>1</v>
      </c>
      <c r="D13" s="577">
        <f>Gewichte!C88</f>
        <v>23</v>
      </c>
      <c r="E13" s="517">
        <f t="shared" ref="E13:E19" si="0">C13*D13</f>
        <v>23</v>
      </c>
      <c r="F13" s="235">
        <v>-15</v>
      </c>
      <c r="G13" s="38">
        <f t="shared" ref="G13:G19" si="1">E13*F13</f>
        <v>-345</v>
      </c>
      <c r="H13" s="3"/>
      <c r="J13" s="76" t="s">
        <v>329</v>
      </c>
      <c r="K13" s="370">
        <f>'Tragfläche &amp; Klappen'!F92-K22-K24</f>
        <v>456.70790999999997</v>
      </c>
      <c r="L13" s="276">
        <f>K13*J10</f>
        <v>1382.3882062317509</v>
      </c>
      <c r="M13" s="369">
        <v>300</v>
      </c>
      <c r="N13" s="368">
        <f t="shared" ref="N13:N24" si="2">L13*M13</f>
        <v>414716.46186952526</v>
      </c>
      <c r="O13" s="277">
        <v>0</v>
      </c>
      <c r="P13" s="372" t="s">
        <v>351</v>
      </c>
    </row>
    <row r="14" spans="2:16" x14ac:dyDescent="0.2">
      <c r="B14" s="76" t="str">
        <f>Gewichte!B100</f>
        <v>Spinner Tru-Turn 2 1/4" Turbo Cool, mit Spannzange</v>
      </c>
      <c r="C14" s="235">
        <v>1</v>
      </c>
      <c r="D14" s="577">
        <f>Gewichte!C99</f>
        <v>45</v>
      </c>
      <c r="E14" s="517">
        <f t="shared" si="0"/>
        <v>45</v>
      </c>
      <c r="F14" s="235">
        <v>-24</v>
      </c>
      <c r="G14" s="38">
        <f t="shared" si="1"/>
        <v>-1080</v>
      </c>
      <c r="H14" s="3"/>
      <c r="J14" s="343" t="s">
        <v>213</v>
      </c>
      <c r="K14" s="331">
        <f>'Rumpf &amp; Seitenleitwerk'!F83</f>
        <v>356.34432000000004</v>
      </c>
      <c r="L14" s="353">
        <f>K14*J10</f>
        <v>1078.6022631525543</v>
      </c>
      <c r="M14" s="353">
        <f>M13+O14</f>
        <v>302</v>
      </c>
      <c r="N14" s="349">
        <f t="shared" si="2"/>
        <v>325737.88347207138</v>
      </c>
      <c r="O14" s="277">
        <v>2</v>
      </c>
      <c r="P14" s="372" t="s">
        <v>356</v>
      </c>
    </row>
    <row r="15" spans="2:16" x14ac:dyDescent="0.2">
      <c r="B15" s="76" t="str">
        <f>Gewichte!B79</f>
        <v>Motor AXI 2826/12  760</v>
      </c>
      <c r="C15" s="235">
        <v>1</v>
      </c>
      <c r="D15" s="577">
        <f>Gewichte!C79</f>
        <v>173</v>
      </c>
      <c r="E15" s="517">
        <f t="shared" si="0"/>
        <v>173</v>
      </c>
      <c r="F15" s="235">
        <v>45</v>
      </c>
      <c r="G15" s="38">
        <f t="shared" si="1"/>
        <v>7785</v>
      </c>
      <c r="H15" s="3"/>
      <c r="J15" s="76" t="s">
        <v>328</v>
      </c>
      <c r="K15" s="229">
        <f>D15+D14+D13</f>
        <v>241</v>
      </c>
      <c r="L15" s="190">
        <f>K15*J10</f>
        <v>729.47183617172732</v>
      </c>
      <c r="M15" s="190">
        <f>M13-O15</f>
        <v>290</v>
      </c>
      <c r="N15" s="350">
        <f t="shared" si="2"/>
        <v>211546.83248980093</v>
      </c>
      <c r="O15" s="277">
        <v>10</v>
      </c>
      <c r="P15" s="372" t="s">
        <v>355</v>
      </c>
    </row>
    <row r="16" spans="2:16" x14ac:dyDescent="0.2">
      <c r="B16" s="76" t="str">
        <f>Gewichte!B94</f>
        <v>Regler CC Phoenix Edge lite 75A</v>
      </c>
      <c r="C16" s="235">
        <v>1</v>
      </c>
      <c r="D16" s="577">
        <f>Gewichte!C93</f>
        <v>82</v>
      </c>
      <c r="E16" s="517">
        <f t="shared" si="0"/>
        <v>82</v>
      </c>
      <c r="F16" s="235">
        <v>200</v>
      </c>
      <c r="G16" s="38">
        <f t="shared" si="1"/>
        <v>16400</v>
      </c>
      <c r="H16" s="3"/>
      <c r="J16" s="76" t="str">
        <f>B19</f>
        <v>Batterie Fullymax 5S 2600 80C mit Schlitten</v>
      </c>
      <c r="K16" s="229">
        <f>Gewichte!C62+Gewichte!C66</f>
        <v>390</v>
      </c>
      <c r="L16" s="190">
        <f>K16*J10</f>
        <v>1180.4730958795587</v>
      </c>
      <c r="M16" s="190">
        <f>M13+O16</f>
        <v>328</v>
      </c>
      <c r="N16" s="350">
        <f t="shared" si="2"/>
        <v>387195.17544849525</v>
      </c>
      <c r="O16" s="422">
        <v>28</v>
      </c>
      <c r="P16" s="372" t="s">
        <v>356</v>
      </c>
    </row>
    <row r="17" spans="2:18" x14ac:dyDescent="0.2">
      <c r="B17" s="76" t="str">
        <f>Gewichte!B97</f>
        <v>Timer FM-9</v>
      </c>
      <c r="C17" s="235">
        <v>1</v>
      </c>
      <c r="D17" s="577">
        <f>Gewichte!C96</f>
        <v>8</v>
      </c>
      <c r="E17" s="517">
        <f t="shared" si="0"/>
        <v>8</v>
      </c>
      <c r="F17" s="235">
        <v>290</v>
      </c>
      <c r="G17" s="38">
        <f t="shared" si="1"/>
        <v>2320</v>
      </c>
      <c r="H17" s="3"/>
      <c r="J17" s="76" t="s">
        <v>121</v>
      </c>
      <c r="K17" s="229">
        <f>Gewichte!C93</f>
        <v>82</v>
      </c>
      <c r="L17" s="190">
        <f>K17*J10</f>
        <v>248.20203554390724</v>
      </c>
      <c r="M17" s="190">
        <f>M13-O17</f>
        <v>260</v>
      </c>
      <c r="N17" s="350">
        <f t="shared" si="2"/>
        <v>64532.529241415883</v>
      </c>
      <c r="O17" s="277">
        <v>40</v>
      </c>
      <c r="P17" s="372" t="s">
        <v>355</v>
      </c>
    </row>
    <row r="18" spans="2:18" x14ac:dyDescent="0.2">
      <c r="B18" s="76" t="s">
        <v>171</v>
      </c>
      <c r="C18" s="235">
        <v>1</v>
      </c>
      <c r="D18" s="577">
        <f>Gewichte!C97</f>
        <v>5</v>
      </c>
      <c r="E18" s="517">
        <f>D18*C18</f>
        <v>5</v>
      </c>
      <c r="F18" s="235">
        <v>265</v>
      </c>
      <c r="G18" s="38">
        <f t="shared" si="1"/>
        <v>1325</v>
      </c>
      <c r="H18" s="3"/>
      <c r="J18" s="76" t="s">
        <v>171</v>
      </c>
      <c r="K18" s="229">
        <f>Gewichte!C97</f>
        <v>5</v>
      </c>
      <c r="L18" s="190">
        <f>K18*J10</f>
        <v>15.134270459994344</v>
      </c>
      <c r="M18" s="190">
        <f>M13-O18</f>
        <v>272</v>
      </c>
      <c r="N18" s="350">
        <f t="shared" si="2"/>
        <v>4116.5215651184617</v>
      </c>
      <c r="O18" s="277">
        <v>28</v>
      </c>
      <c r="P18" s="372" t="s">
        <v>526</v>
      </c>
    </row>
    <row r="19" spans="2:18" x14ac:dyDescent="0.2">
      <c r="B19" s="76" t="s">
        <v>602</v>
      </c>
      <c r="C19" s="235">
        <v>1</v>
      </c>
      <c r="D19" s="577">
        <f>Gewichte!C65+Gewichte!C66</f>
        <v>394</v>
      </c>
      <c r="E19" s="517">
        <f t="shared" si="0"/>
        <v>394</v>
      </c>
      <c r="F19" s="596">
        <v>175</v>
      </c>
      <c r="G19" s="38">
        <f t="shared" si="1"/>
        <v>68950</v>
      </c>
      <c r="H19" s="3"/>
      <c r="J19" s="76" t="s">
        <v>123</v>
      </c>
      <c r="K19" s="229">
        <f>Gewichte!C96</f>
        <v>8</v>
      </c>
      <c r="L19" s="190">
        <f>K19*J10</f>
        <v>24.214832735990949</v>
      </c>
      <c r="M19" s="190">
        <f>M13+O19</f>
        <v>335</v>
      </c>
      <c r="N19" s="350">
        <f t="shared" si="2"/>
        <v>8111.9689665569676</v>
      </c>
      <c r="O19" s="277">
        <v>35</v>
      </c>
      <c r="P19" s="372" t="s">
        <v>356</v>
      </c>
      <c r="R19" s="24"/>
    </row>
    <row r="20" spans="2:18" x14ac:dyDescent="0.2">
      <c r="B20" s="38"/>
      <c r="C20" s="92"/>
      <c r="D20" s="63"/>
      <c r="E20" s="137"/>
      <c r="F20" s="174"/>
      <c r="G20" s="105"/>
      <c r="H20" s="3"/>
      <c r="J20" s="76" t="s">
        <v>122</v>
      </c>
      <c r="K20" s="228">
        <f>Höhenleitwerk!F57</f>
        <v>129.2302</v>
      </c>
      <c r="L20" s="190">
        <f>K20*J10</f>
        <v>391.16095967983216</v>
      </c>
      <c r="M20" s="190">
        <f>M13+O20</f>
        <v>320</v>
      </c>
      <c r="N20" s="350">
        <f t="shared" si="2"/>
        <v>125171.50709754629</v>
      </c>
      <c r="O20" s="422">
        <v>20</v>
      </c>
      <c r="P20" s="372" t="s">
        <v>356</v>
      </c>
      <c r="Q20">
        <v>15</v>
      </c>
    </row>
    <row r="21" spans="2:18" x14ac:dyDescent="0.2">
      <c r="B21" s="76" t="s">
        <v>654</v>
      </c>
      <c r="C21" s="92"/>
      <c r="D21" s="63"/>
      <c r="E21" s="137"/>
      <c r="F21" s="174"/>
      <c r="G21" s="105"/>
      <c r="H21" s="3"/>
      <c r="J21" s="76" t="s">
        <v>523</v>
      </c>
      <c r="K21" s="229">
        <f>Gewichte!C47+Gewichte!C57</f>
        <v>71</v>
      </c>
      <c r="L21" s="190">
        <f>K21*J10</f>
        <v>214.90664053191966</v>
      </c>
      <c r="M21" s="190">
        <f>M13-O21</f>
        <v>140</v>
      </c>
      <c r="N21" s="350">
        <f t="shared" si="2"/>
        <v>30086.929674468753</v>
      </c>
      <c r="O21" s="277">
        <v>160</v>
      </c>
      <c r="P21" s="372" t="s">
        <v>355</v>
      </c>
    </row>
    <row r="22" spans="2:18" x14ac:dyDescent="0.2">
      <c r="B22" s="76"/>
      <c r="C22" s="92"/>
      <c r="D22" s="63"/>
      <c r="E22" s="137"/>
      <c r="F22" s="174"/>
      <c r="G22" s="105"/>
      <c r="H22" s="3"/>
      <c r="J22" s="76" t="s">
        <v>334</v>
      </c>
      <c r="K22" s="228">
        <f>Schwerpunktrechnung!C29</f>
        <v>18</v>
      </c>
      <c r="L22" s="190">
        <f>K22*J10</f>
        <v>54.483373655979634</v>
      </c>
      <c r="M22" s="190">
        <v>300</v>
      </c>
      <c r="N22" s="350">
        <f t="shared" si="2"/>
        <v>16345.012096793889</v>
      </c>
      <c r="O22" s="277">
        <v>0</v>
      </c>
      <c r="P22" s="372" t="s">
        <v>351</v>
      </c>
    </row>
    <row r="23" spans="2:18" x14ac:dyDescent="0.2">
      <c r="B23" s="76"/>
      <c r="C23" s="92"/>
      <c r="D23" s="63"/>
      <c r="E23" s="137"/>
      <c r="F23" s="174"/>
      <c r="G23" s="105"/>
      <c r="H23" s="3"/>
      <c r="J23" s="76" t="s">
        <v>335</v>
      </c>
      <c r="K23" s="228">
        <f>Schwerpunktrechnung!C33</f>
        <v>18</v>
      </c>
      <c r="L23" s="190">
        <f>K23*J10</f>
        <v>54.483373655979634</v>
      </c>
      <c r="M23" s="190">
        <v>315</v>
      </c>
      <c r="N23" s="350">
        <f t="shared" si="2"/>
        <v>17162.262701633583</v>
      </c>
      <c r="O23" s="277">
        <v>15</v>
      </c>
      <c r="P23" s="372" t="s">
        <v>356</v>
      </c>
    </row>
    <row r="24" spans="2:18" x14ac:dyDescent="0.2">
      <c r="B24" s="76"/>
      <c r="C24" s="92"/>
      <c r="D24" s="63"/>
      <c r="E24" s="137"/>
      <c r="F24" s="174"/>
      <c r="G24" s="105"/>
      <c r="H24" s="3"/>
      <c r="J24" s="76" t="s">
        <v>336</v>
      </c>
      <c r="K24" s="228">
        <f>Schwerpunktrechnung!C32</f>
        <v>2</v>
      </c>
      <c r="L24" s="190">
        <f>K24*J10</f>
        <v>6.0537081839977374</v>
      </c>
      <c r="M24" s="190">
        <v>300</v>
      </c>
      <c r="N24" s="350">
        <f t="shared" si="2"/>
        <v>1816.1124551993212</v>
      </c>
      <c r="O24" s="277">
        <v>0</v>
      </c>
      <c r="P24" s="372" t="s">
        <v>351</v>
      </c>
    </row>
    <row r="25" spans="2:18" x14ac:dyDescent="0.2">
      <c r="B25" s="76" t="s">
        <v>298</v>
      </c>
      <c r="C25" s="92"/>
      <c r="D25" s="168"/>
      <c r="E25" s="586">
        <f>Schwerpunktrechnung!C41</f>
        <v>175.61460179167545</v>
      </c>
      <c r="F25" s="595">
        <f>Schwerpunktrechnung!C42</f>
        <v>0.2067993089326183</v>
      </c>
      <c r="G25" s="105"/>
      <c r="H25" s="3"/>
      <c r="J25" s="76" t="s">
        <v>54</v>
      </c>
      <c r="K25" s="282">
        <f>Gewichte!C61</f>
        <v>3</v>
      </c>
      <c r="L25" s="190">
        <f>K25*J10</f>
        <v>9.0805622759966056</v>
      </c>
      <c r="M25" s="190">
        <f>M13-O25</f>
        <v>170</v>
      </c>
      <c r="N25" s="350">
        <f>M25*L25</f>
        <v>1543.695586919423</v>
      </c>
      <c r="O25" s="277">
        <v>130</v>
      </c>
      <c r="P25" s="372" t="s">
        <v>355</v>
      </c>
    </row>
    <row r="26" spans="2:18" x14ac:dyDescent="0.2">
      <c r="B26" s="76"/>
      <c r="C26" s="92"/>
      <c r="D26" s="168"/>
      <c r="E26" s="278"/>
      <c r="F26" s="168"/>
      <c r="G26" s="105"/>
      <c r="H26" s="3"/>
      <c r="J26" s="76"/>
      <c r="K26" s="257"/>
      <c r="L26" s="262"/>
      <c r="M26" s="104"/>
      <c r="N26" s="351"/>
      <c r="O26" s="110"/>
      <c r="P26" s="264"/>
    </row>
    <row r="27" spans="2:18" x14ac:dyDescent="0.2">
      <c r="B27" s="76" t="s">
        <v>653</v>
      </c>
      <c r="C27" s="86"/>
      <c r="D27" s="92"/>
      <c r="F27" s="92"/>
      <c r="G27" s="105"/>
      <c r="H27" s="3"/>
      <c r="I27" s="406"/>
      <c r="J27" s="76" t="s">
        <v>331</v>
      </c>
      <c r="K27" s="254"/>
      <c r="L27" s="262"/>
      <c r="M27" s="104"/>
      <c r="N27" s="352">
        <f>SUM(N13:N25)</f>
        <v>1608082.8926655452</v>
      </c>
      <c r="O27" s="320"/>
      <c r="P27" s="316"/>
    </row>
    <row r="28" spans="2:18" x14ac:dyDescent="0.2">
      <c r="B28" s="38"/>
      <c r="C28" s="38"/>
      <c r="D28" s="76"/>
      <c r="E28" s="256"/>
      <c r="F28" s="38"/>
      <c r="G28" s="38"/>
      <c r="H28" s="3"/>
      <c r="I28" s="3"/>
      <c r="J28" s="76" t="s">
        <v>367</v>
      </c>
      <c r="K28" s="104"/>
      <c r="L28" s="190">
        <f>SUM(L13:L25)</f>
        <v>5388.6551581591893</v>
      </c>
      <c r="M28" s="329"/>
      <c r="N28" s="332"/>
      <c r="O28" s="320"/>
      <c r="P28" s="321"/>
    </row>
    <row r="29" spans="2:18" x14ac:dyDescent="0.2">
      <c r="B29" s="38"/>
      <c r="C29" s="38"/>
      <c r="D29" s="76"/>
      <c r="E29" s="256"/>
      <c r="F29" s="38"/>
      <c r="G29" s="38"/>
      <c r="H29" s="3"/>
      <c r="I29" s="3"/>
      <c r="J29" s="76" t="s">
        <v>332</v>
      </c>
      <c r="K29" s="104"/>
      <c r="L29" s="324"/>
      <c r="M29" s="379">
        <f>N27/L28</f>
        <v>298.42007800975711</v>
      </c>
      <c r="N29" s="333"/>
      <c r="O29" s="320"/>
      <c r="P29" s="323"/>
    </row>
    <row r="30" spans="2:18" x14ac:dyDescent="0.2">
      <c r="B30" s="38"/>
      <c r="C30" s="38"/>
      <c r="D30" s="76"/>
      <c r="E30" s="256"/>
      <c r="F30" s="38"/>
      <c r="G30" s="38"/>
      <c r="H30" s="3"/>
      <c r="I30" s="3"/>
      <c r="J30" s="76"/>
      <c r="K30" s="104"/>
      <c r="L30" s="324"/>
      <c r="M30" s="378"/>
      <c r="N30" s="333"/>
      <c r="O30" s="320"/>
      <c r="P30" s="323"/>
    </row>
    <row r="31" spans="2:18" x14ac:dyDescent="0.2">
      <c r="B31" s="38"/>
      <c r="C31" s="38"/>
      <c r="D31" s="76"/>
      <c r="E31" s="256"/>
      <c r="F31" s="38"/>
      <c r="G31" s="38"/>
      <c r="H31" s="3"/>
      <c r="I31" s="3"/>
      <c r="J31" s="305" t="s">
        <v>515</v>
      </c>
      <c r="K31" s="104"/>
      <c r="L31" s="324"/>
      <c r="M31" s="392"/>
      <c r="N31" s="333"/>
      <c r="O31" s="320"/>
      <c r="P31" s="323"/>
    </row>
    <row r="32" spans="2:18" x14ac:dyDescent="0.2">
      <c r="B32" s="38"/>
      <c r="C32" s="38"/>
      <c r="D32" s="76"/>
      <c r="E32" s="256"/>
      <c r="F32" s="38"/>
      <c r="G32" s="38"/>
      <c r="H32" s="3"/>
      <c r="I32" s="3"/>
      <c r="J32" s="104" t="s">
        <v>362</v>
      </c>
      <c r="K32" s="104"/>
      <c r="L32" s="324"/>
      <c r="M32" s="379">
        <f>M13-M29</f>
        <v>1.5799219902428945</v>
      </c>
      <c r="N32" s="333"/>
      <c r="O32" s="320"/>
      <c r="P32" s="323"/>
    </row>
    <row r="33" spans="2:16" x14ac:dyDescent="0.2">
      <c r="B33" s="38"/>
      <c r="C33" s="38"/>
      <c r="D33" s="76"/>
      <c r="E33" s="256"/>
      <c r="F33" s="38"/>
      <c r="G33" s="38"/>
      <c r="H33" s="3"/>
      <c r="I33" s="3"/>
      <c r="J33" s="104" t="str">
        <f>J28</f>
        <v>Summe aller Querkräfte im Horizontalflug</v>
      </c>
      <c r="K33" s="104"/>
      <c r="L33" s="401">
        <f>L28</f>
        <v>5388.6551581591893</v>
      </c>
      <c r="M33" s="330"/>
      <c r="N33" s="334"/>
      <c r="O33" s="380"/>
      <c r="P33" s="377"/>
    </row>
    <row r="34" spans="2:16" ht="13.5" thickBot="1" x14ac:dyDescent="0.25">
      <c r="B34" s="38"/>
      <c r="C34" s="38"/>
      <c r="D34" s="76"/>
      <c r="E34" s="256"/>
      <c r="F34" s="38"/>
      <c r="G34" s="38"/>
      <c r="H34" s="3"/>
      <c r="I34" s="3"/>
      <c r="J34" s="465"/>
      <c r="K34" s="296"/>
      <c r="L34" s="381"/>
      <c r="M34" s="399"/>
      <c r="N34" s="381"/>
      <c r="O34" s="400"/>
      <c r="P34" s="38"/>
    </row>
    <row r="35" spans="2:16" ht="13.5" thickBot="1" x14ac:dyDescent="0.25">
      <c r="B35" s="38"/>
      <c r="C35" s="38"/>
      <c r="D35" s="76"/>
      <c r="E35" s="256"/>
      <c r="F35" s="38"/>
      <c r="G35" s="38"/>
      <c r="H35" s="3"/>
      <c r="I35" s="3"/>
      <c r="J35" s="466" t="s">
        <v>516</v>
      </c>
      <c r="K35" s="381"/>
      <c r="L35" s="329"/>
      <c r="M35" s="382"/>
      <c r="N35" s="402">
        <f>L33*M32</f>
        <v>8513.6547822115062</v>
      </c>
      <c r="O35" s="323"/>
      <c r="P35" s="336"/>
    </row>
    <row r="36" spans="2:16" ht="13.5" thickBot="1" x14ac:dyDescent="0.25">
      <c r="B36" s="38"/>
      <c r="C36" s="38"/>
      <c r="D36" s="76"/>
      <c r="E36" s="256"/>
      <c r="F36" s="38"/>
      <c r="G36" s="38"/>
      <c r="H36" s="3"/>
      <c r="I36" s="3"/>
      <c r="J36" s="76" t="s">
        <v>373</v>
      </c>
      <c r="K36" s="393"/>
      <c r="L36" s="327">
        <f>N35/Abmessungen!B28</f>
        <v>11.427724539881217</v>
      </c>
      <c r="M36" s="394"/>
      <c r="N36" s="383"/>
      <c r="O36" s="325"/>
      <c r="P36" s="374"/>
    </row>
    <row r="37" spans="2:16" x14ac:dyDescent="0.2">
      <c r="B37" s="38"/>
      <c r="C37" s="38"/>
      <c r="D37" s="76"/>
      <c r="E37" s="256"/>
      <c r="F37" s="38"/>
      <c r="G37" s="38"/>
      <c r="H37" s="3"/>
      <c r="I37" s="3"/>
      <c r="J37" s="397" t="s">
        <v>517</v>
      </c>
      <c r="K37" s="417"/>
      <c r="L37" s="494"/>
      <c r="M37" s="419"/>
      <c r="N37" s="359">
        <f>L38*M32</f>
        <v>5700.9474222114495</v>
      </c>
      <c r="O37" s="398"/>
      <c r="P37" s="38"/>
    </row>
    <row r="38" spans="2:16" ht="13.5" thickBot="1" x14ac:dyDescent="0.25">
      <c r="B38" s="38"/>
      <c r="C38" s="38"/>
      <c r="D38" s="76"/>
      <c r="E38" s="256"/>
      <c r="F38" s="38"/>
      <c r="G38" s="38"/>
      <c r="H38" s="3"/>
      <c r="I38" s="3"/>
      <c r="J38" s="104" t="s">
        <v>368</v>
      </c>
      <c r="K38" s="418"/>
      <c r="L38" s="359">
        <f>L33/J10*(J10-1)</f>
        <v>3608.3727281591896</v>
      </c>
      <c r="M38" s="394"/>
      <c r="N38" s="321"/>
      <c r="O38" s="321"/>
      <c r="P38" s="321"/>
    </row>
    <row r="39" spans="2:16" ht="13.5" thickBot="1" x14ac:dyDescent="0.25">
      <c r="B39" s="38"/>
      <c r="C39" s="38"/>
      <c r="D39" s="76"/>
      <c r="E39" s="256"/>
      <c r="F39" s="38"/>
      <c r="G39" s="38"/>
      <c r="H39" s="3"/>
      <c r="I39" s="3"/>
      <c r="J39" s="343" t="s">
        <v>369</v>
      </c>
      <c r="K39" s="395"/>
      <c r="L39" s="327">
        <f>N37/Abmessungen!B28</f>
        <v>7.6522784190757713</v>
      </c>
      <c r="M39" s="396"/>
      <c r="N39" s="322"/>
      <c r="O39" s="322"/>
      <c r="P39" s="364"/>
    </row>
    <row r="40" spans="2:16" x14ac:dyDescent="0.2">
      <c r="B40" s="38"/>
      <c r="C40" s="38"/>
      <c r="D40" s="76"/>
      <c r="E40" s="256"/>
      <c r="F40" s="38"/>
      <c r="G40" s="38"/>
      <c r="H40" s="3"/>
      <c r="I40" s="3"/>
      <c r="J40" s="284"/>
      <c r="K40" s="328"/>
      <c r="L40" s="330"/>
      <c r="M40" s="262"/>
      <c r="N40" s="321"/>
      <c r="O40" s="321"/>
      <c r="P40" s="321"/>
    </row>
    <row r="41" spans="2:16" ht="38.25" x14ac:dyDescent="0.2">
      <c r="B41" s="38"/>
      <c r="C41" s="38"/>
      <c r="D41" s="76"/>
      <c r="E41" s="256"/>
      <c r="F41" s="38"/>
      <c r="G41" s="38"/>
      <c r="H41" s="3"/>
      <c r="I41" s="3"/>
      <c r="J41" s="309" t="s">
        <v>527</v>
      </c>
      <c r="K41" s="371">
        <f>M42</f>
        <v>755</v>
      </c>
      <c r="L41" s="375" t="s">
        <v>358</v>
      </c>
      <c r="M41" s="374" t="s">
        <v>357</v>
      </c>
      <c r="N41" s="336" t="s">
        <v>286</v>
      </c>
      <c r="O41" s="338"/>
      <c r="P41" s="364" t="s">
        <v>330</v>
      </c>
    </row>
    <row r="42" spans="2:16" ht="15.75" x14ac:dyDescent="0.25">
      <c r="B42" s="75" t="s">
        <v>55</v>
      </c>
      <c r="C42" s="38"/>
      <c r="D42" s="76"/>
      <c r="E42" s="578">
        <f>SUM(E13:E19)</f>
        <v>730</v>
      </c>
      <c r="F42" s="76"/>
      <c r="G42" s="38">
        <f>SUM(G13:G19)</f>
        <v>95355</v>
      </c>
      <c r="H42" s="3"/>
      <c r="I42" s="461"/>
      <c r="J42" s="76" t="s">
        <v>341</v>
      </c>
      <c r="K42" s="183"/>
      <c r="L42" s="356">
        <f>Schwerpunktrechnung!C35-Schwerpunktrechnung!C29-Schwerpunktrechnung!C32</f>
        <v>1804.28243</v>
      </c>
      <c r="M42" s="354">
        <f>Abmessungen!B27</f>
        <v>755</v>
      </c>
      <c r="N42" s="355">
        <f>L42*M42</f>
        <v>1362233.23465</v>
      </c>
      <c r="O42" s="335"/>
      <c r="P42" s="365"/>
    </row>
    <row r="43" spans="2:16" ht="14.25" customHeight="1" x14ac:dyDescent="0.2">
      <c r="B43" s="89"/>
      <c r="C43" s="38"/>
      <c r="D43" s="76"/>
      <c r="E43" s="256"/>
      <c r="F43" s="528">
        <f>G42/E42</f>
        <v>130.62328767123287</v>
      </c>
      <c r="G43" s="38"/>
      <c r="H43" s="3"/>
      <c r="I43" s="8"/>
      <c r="J43" s="104" t="s">
        <v>347</v>
      </c>
      <c r="K43" s="76"/>
      <c r="L43" s="355">
        <f>N43/M43</f>
        <v>25.660927152317882</v>
      </c>
      <c r="M43" s="354">
        <f>M42</f>
        <v>755</v>
      </c>
      <c r="N43" s="371">
        <f>'Daten und Rechnungen'!C35</f>
        <v>19374</v>
      </c>
      <c r="O43" s="332"/>
      <c r="P43" s="336"/>
    </row>
    <row r="44" spans="2:16" ht="14.25" customHeight="1" x14ac:dyDescent="0.2">
      <c r="B44" s="89"/>
      <c r="C44" s="38"/>
      <c r="D44" s="76"/>
      <c r="E44" s="256"/>
      <c r="F44" s="469"/>
      <c r="G44" s="38"/>
      <c r="H44" s="3"/>
      <c r="I44" s="8"/>
      <c r="J44" s="104" t="str">
        <f>J22</f>
        <v>Ausgleichsgewicht aussen f. Leinen</v>
      </c>
      <c r="K44" s="185"/>
      <c r="L44" s="354">
        <f>Schwerpunktrechnung!C29</f>
        <v>18</v>
      </c>
      <c r="M44" s="354">
        <f>Abmessungen!B26</f>
        <v>1500</v>
      </c>
      <c r="N44" s="355">
        <f>L44*M44</f>
        <v>27000</v>
      </c>
      <c r="O44" s="272"/>
      <c r="P44" s="273"/>
    </row>
    <row r="45" spans="2:16" ht="14.25" customHeight="1" x14ac:dyDescent="0.2">
      <c r="B45" s="89"/>
      <c r="C45" s="38"/>
      <c r="D45" s="76"/>
      <c r="E45" s="256"/>
      <c r="F45" s="469"/>
      <c r="G45" s="38"/>
      <c r="H45" s="3"/>
      <c r="I45" s="8"/>
      <c r="J45" s="104" t="str">
        <f>J24</f>
        <v>Zusatzgewicht Aussen</v>
      </c>
      <c r="K45" s="183"/>
      <c r="L45" s="354">
        <f>K24</f>
        <v>2</v>
      </c>
      <c r="M45" s="354">
        <f>Abmessungen!B26</f>
        <v>1500</v>
      </c>
      <c r="N45" s="355">
        <f>L45*M45</f>
        <v>3000</v>
      </c>
      <c r="O45" s="316"/>
      <c r="P45" s="273"/>
    </row>
    <row r="46" spans="2:16" ht="14.25" customHeight="1" x14ac:dyDescent="0.2">
      <c r="B46" s="89"/>
      <c r="C46" s="38"/>
      <c r="D46" s="76"/>
      <c r="E46" s="256"/>
      <c r="F46" s="469"/>
      <c r="G46" s="38"/>
      <c r="H46" s="3"/>
      <c r="I46" s="8"/>
      <c r="J46" s="76" t="s">
        <v>420</v>
      </c>
      <c r="K46" s="38"/>
      <c r="L46" s="420">
        <f>Gewichte!C72/2</f>
        <v>18</v>
      </c>
      <c r="M46" s="371">
        <f>M42-750</f>
        <v>5</v>
      </c>
      <c r="N46" s="421">
        <f>L46*M46</f>
        <v>90</v>
      </c>
      <c r="O46" s="38"/>
      <c r="P46" s="38"/>
    </row>
    <row r="47" spans="2:16" ht="14.25" customHeight="1" x14ac:dyDescent="0.2">
      <c r="B47" s="89"/>
      <c r="C47" s="38"/>
      <c r="D47" s="76"/>
      <c r="E47" s="256"/>
      <c r="F47" s="469"/>
      <c r="G47" s="38"/>
      <c r="H47" s="3"/>
      <c r="I47" s="8"/>
      <c r="J47" s="38"/>
      <c r="K47" s="38"/>
      <c r="L47" s="273"/>
      <c r="M47" s="316"/>
      <c r="N47" s="386"/>
      <c r="O47" s="38"/>
      <c r="P47" s="38"/>
    </row>
    <row r="48" spans="2:16" ht="14.25" customHeight="1" x14ac:dyDescent="0.2">
      <c r="B48" s="89"/>
      <c r="C48" s="38"/>
      <c r="D48" s="76"/>
      <c r="E48" s="256"/>
      <c r="F48" s="469"/>
      <c r="G48" s="38"/>
      <c r="H48" s="3"/>
      <c r="I48" s="8"/>
      <c r="J48" s="76" t="s">
        <v>372</v>
      </c>
      <c r="K48" s="38"/>
      <c r="L48" s="355">
        <f>L42+L43+L44+L45+L46</f>
        <v>1867.943357152318</v>
      </c>
      <c r="M48" s="321"/>
      <c r="N48" s="38"/>
      <c r="O48" s="38"/>
      <c r="P48" s="38"/>
    </row>
    <row r="49" spans="2:16" ht="14.25" customHeight="1" x14ac:dyDescent="0.2">
      <c r="B49" s="89"/>
      <c r="C49" s="38"/>
      <c r="D49" s="76"/>
      <c r="E49" s="256"/>
      <c r="F49" s="469"/>
      <c r="G49" s="38"/>
      <c r="H49" s="3"/>
      <c r="I49" s="8"/>
      <c r="J49" s="76" t="s">
        <v>348</v>
      </c>
      <c r="K49" s="38"/>
      <c r="L49" s="38"/>
      <c r="M49" s="321"/>
      <c r="N49" s="355">
        <f>N42+N43+N44+N45+N46</f>
        <v>1411697.23465</v>
      </c>
      <c r="O49" s="38"/>
      <c r="P49" s="38"/>
    </row>
    <row r="50" spans="2:16" ht="14.25" customHeight="1" x14ac:dyDescent="0.2">
      <c r="B50" s="89"/>
      <c r="C50" s="38"/>
      <c r="D50" s="76"/>
      <c r="E50" s="256"/>
      <c r="F50" s="469"/>
      <c r="G50" s="38"/>
      <c r="H50" s="3"/>
      <c r="I50" s="8"/>
      <c r="J50" s="76" t="s">
        <v>332</v>
      </c>
      <c r="K50" s="38"/>
      <c r="L50" s="38"/>
      <c r="M50" s="359">
        <f>N49/L48</f>
        <v>755.7494873945933</v>
      </c>
      <c r="N50" s="317"/>
      <c r="O50" s="317"/>
      <c r="P50" s="38"/>
    </row>
    <row r="51" spans="2:16" ht="14.25" customHeight="1" x14ac:dyDescent="0.2">
      <c r="B51" s="89"/>
      <c r="C51" s="38"/>
      <c r="D51" s="76"/>
      <c r="E51" s="256"/>
      <c r="F51" s="469"/>
      <c r="G51" s="38"/>
      <c r="H51" s="3"/>
      <c r="I51" s="8"/>
      <c r="J51" s="76" t="s">
        <v>363</v>
      </c>
      <c r="K51" s="38"/>
      <c r="L51" s="38"/>
      <c r="M51" s="355">
        <f>M50-M42</f>
        <v>0.74948739459330227</v>
      </c>
      <c r="N51" s="38"/>
      <c r="O51" s="321"/>
      <c r="P51" s="376"/>
    </row>
    <row r="52" spans="2:16" ht="14.25" customHeight="1" x14ac:dyDescent="0.2">
      <c r="B52" s="89"/>
      <c r="C52" s="38"/>
      <c r="D52" s="76"/>
      <c r="E52" s="256"/>
      <c r="F52" s="469"/>
      <c r="G52" s="38"/>
      <c r="H52" s="3"/>
      <c r="I52" s="8"/>
      <c r="J52" s="76"/>
      <c r="K52" s="38"/>
      <c r="L52" s="38"/>
      <c r="M52" s="321"/>
      <c r="N52" s="317"/>
      <c r="O52" s="321"/>
      <c r="P52" s="376"/>
    </row>
    <row r="53" spans="2:16" ht="16.5" customHeight="1" x14ac:dyDescent="0.2">
      <c r="B53" s="89"/>
      <c r="C53" s="38"/>
      <c r="D53" s="76"/>
      <c r="E53" s="256"/>
      <c r="F53" s="469"/>
      <c r="G53" s="38"/>
      <c r="H53" s="3"/>
      <c r="I53" s="8"/>
      <c r="J53" s="384" t="s">
        <v>364</v>
      </c>
      <c r="K53" s="38"/>
      <c r="L53" s="38"/>
      <c r="M53" s="298"/>
      <c r="N53" s="386"/>
      <c r="O53" s="325"/>
      <c r="P53" s="376"/>
    </row>
    <row r="54" spans="2:16" ht="14.25" customHeight="1" x14ac:dyDescent="0.2">
      <c r="B54" s="89"/>
      <c r="C54" s="38"/>
      <c r="D54" s="76"/>
      <c r="E54" s="256"/>
      <c r="F54" s="469"/>
      <c r="G54" s="38"/>
      <c r="H54" s="3"/>
      <c r="I54" s="8"/>
      <c r="J54" s="76" t="s">
        <v>370</v>
      </c>
      <c r="K54" s="38"/>
      <c r="L54" s="371">
        <f>L48</f>
        <v>1867.943357152318</v>
      </c>
      <c r="M54" s="322"/>
      <c r="N54" s="94"/>
      <c r="O54" s="94"/>
      <c r="P54" s="38"/>
    </row>
    <row r="55" spans="2:16" ht="14.25" customHeight="1" thickBot="1" x14ac:dyDescent="0.25">
      <c r="B55" s="89"/>
      <c r="C55" s="38"/>
      <c r="D55" s="76"/>
      <c r="E55" s="256"/>
      <c r="F55" s="469"/>
      <c r="G55" s="38"/>
      <c r="H55" s="3"/>
      <c r="I55" s="8"/>
      <c r="J55" s="76" t="s">
        <v>375</v>
      </c>
      <c r="K55" s="38"/>
      <c r="L55" s="38"/>
      <c r="M55" s="403">
        <f>M51</f>
        <v>0.74948739459330227</v>
      </c>
      <c r="N55" s="412"/>
      <c r="O55" s="94"/>
      <c r="P55" s="38"/>
    </row>
    <row r="56" spans="2:16" ht="14.25" customHeight="1" thickBot="1" x14ac:dyDescent="0.25">
      <c r="B56" s="89"/>
      <c r="C56" s="38"/>
      <c r="D56" s="76"/>
      <c r="E56" s="256"/>
      <c r="F56" s="469"/>
      <c r="G56" s="38"/>
      <c r="H56" s="3"/>
      <c r="I56" s="8"/>
      <c r="J56" s="76" t="s">
        <v>380</v>
      </c>
      <c r="K56" s="38"/>
      <c r="L56" s="317"/>
      <c r="M56" s="326"/>
      <c r="N56" s="404">
        <f>L54*M55</f>
        <v>1399.999999999957</v>
      </c>
      <c r="O56" s="411"/>
      <c r="P56" s="76" t="s">
        <v>377</v>
      </c>
    </row>
    <row r="57" spans="2:16" ht="14.25" customHeight="1" thickBot="1" x14ac:dyDescent="0.25">
      <c r="B57" s="89"/>
      <c r="C57" s="38"/>
      <c r="D57" s="76"/>
      <c r="E57" s="256"/>
      <c r="F57" s="469"/>
      <c r="G57" s="38"/>
      <c r="H57" s="3"/>
      <c r="I57" s="8"/>
      <c r="J57" s="76" t="s">
        <v>376</v>
      </c>
      <c r="K57" s="298"/>
      <c r="L57" s="327">
        <f>N56/Abmessungen!B28</f>
        <v>1.8791946308724254</v>
      </c>
      <c r="M57" s="323"/>
      <c r="N57" s="94"/>
      <c r="O57" s="94"/>
      <c r="P57" s="76" t="s">
        <v>377</v>
      </c>
    </row>
    <row r="58" spans="2:16" ht="14.25" customHeight="1" x14ac:dyDescent="0.2">
      <c r="B58" s="89"/>
      <c r="C58" s="38"/>
      <c r="D58" s="76"/>
      <c r="E58" s="256"/>
      <c r="F58" s="469"/>
      <c r="G58" s="38"/>
      <c r="H58" s="3"/>
      <c r="I58" s="8"/>
      <c r="J58" s="76"/>
      <c r="K58" s="298"/>
      <c r="L58" s="405"/>
      <c r="M58" s="323"/>
      <c r="N58" s="94"/>
      <c r="O58" s="94"/>
      <c r="P58" s="38"/>
    </row>
    <row r="59" spans="2:16" ht="32.25" customHeight="1" x14ac:dyDescent="0.2">
      <c r="B59" s="89"/>
      <c r="C59" s="38"/>
      <c r="D59" s="76"/>
      <c r="E59" s="256"/>
      <c r="F59" s="469"/>
      <c r="G59" s="38"/>
      <c r="H59" s="3"/>
      <c r="I59" s="8"/>
      <c r="J59" s="384" t="s">
        <v>379</v>
      </c>
      <c r="K59" s="371">
        <f>M42</f>
        <v>755</v>
      </c>
      <c r="L59" s="38"/>
      <c r="M59" s="321"/>
      <c r="N59" s="38"/>
      <c r="O59" s="38"/>
      <c r="P59" s="38"/>
    </row>
    <row r="60" spans="2:16" ht="14.25" customHeight="1" x14ac:dyDescent="0.2">
      <c r="B60" s="89"/>
      <c r="C60" s="38"/>
      <c r="D60" s="76"/>
      <c r="E60" s="256"/>
      <c r="F60" s="469"/>
      <c r="G60" s="38"/>
      <c r="H60" s="3"/>
      <c r="I60" s="3"/>
      <c r="J60" s="76" t="s">
        <v>342</v>
      </c>
      <c r="L60" s="354">
        <f>'Daten und Rechnungen'!C74</f>
        <v>876.02042288599989</v>
      </c>
      <c r="M60" s="355">
        <f>M42-'Daten und Rechnungen'!C63</f>
        <v>404</v>
      </c>
      <c r="N60" s="355">
        <f>L60*M60</f>
        <v>353912.25084594399</v>
      </c>
      <c r="O60" s="272"/>
      <c r="P60" s="336"/>
    </row>
    <row r="61" spans="2:16" ht="14.25" customHeight="1" x14ac:dyDescent="0.2">
      <c r="B61" s="89"/>
      <c r="C61" s="38"/>
      <c r="D61" s="76"/>
      <c r="E61" s="256"/>
      <c r="F61" s="469"/>
      <c r="G61" s="38"/>
      <c r="H61" s="3"/>
      <c r="I61" s="3"/>
      <c r="J61" s="104" t="s">
        <v>346</v>
      </c>
      <c r="L61" s="354">
        <f>'Daten und Rechnungen'!C76</f>
        <v>941.56324203104009</v>
      </c>
      <c r="M61" s="355">
        <f>M42+'Daten und Rechnungen'!C64</f>
        <v>1101</v>
      </c>
      <c r="N61" s="355">
        <f>L61*M61</f>
        <v>1036661.1294761752</v>
      </c>
      <c r="O61" s="336"/>
      <c r="P61" s="336"/>
    </row>
    <row r="62" spans="2:16" x14ac:dyDescent="0.2">
      <c r="B62" s="89"/>
      <c r="C62" s="38"/>
      <c r="D62" s="76"/>
      <c r="E62" s="256"/>
      <c r="F62" s="120"/>
      <c r="G62" s="38"/>
      <c r="H62" s="3"/>
      <c r="I62" s="5"/>
      <c r="J62" s="76"/>
      <c r="K62" s="183"/>
      <c r="L62" s="336"/>
      <c r="M62" s="336"/>
      <c r="N62" s="321"/>
      <c r="O62" s="316"/>
      <c r="P62" s="336"/>
    </row>
    <row r="63" spans="2:16" x14ac:dyDescent="0.2">
      <c r="B63" s="89"/>
      <c r="C63" s="38"/>
      <c r="D63" s="76"/>
      <c r="E63" s="256"/>
      <c r="F63" s="120"/>
      <c r="G63" s="38"/>
      <c r="H63" s="3"/>
      <c r="I63" s="5"/>
      <c r="J63" s="467" t="s">
        <v>371</v>
      </c>
      <c r="K63" s="76"/>
      <c r="L63" s="366">
        <f>L60+L61</f>
        <v>1817.5836649170401</v>
      </c>
      <c r="M63" s="336"/>
      <c r="N63" s="337"/>
      <c r="O63" s="337"/>
      <c r="P63" s="337"/>
    </row>
    <row r="64" spans="2:16" x14ac:dyDescent="0.2">
      <c r="B64" s="38"/>
      <c r="C64" s="38"/>
      <c r="D64" s="76"/>
      <c r="E64" s="256"/>
      <c r="F64" s="105"/>
      <c r="G64" s="38"/>
      <c r="H64" s="3"/>
      <c r="I64" s="5"/>
      <c r="J64" s="104" t="s">
        <v>348</v>
      </c>
      <c r="K64" s="339"/>
      <c r="L64" s="337"/>
      <c r="M64" s="334"/>
      <c r="N64" s="355">
        <f>N60+N61</f>
        <v>1390573.3803221192</v>
      </c>
      <c r="O64" s="341"/>
      <c r="P64" s="340"/>
    </row>
    <row r="65" spans="2:16" x14ac:dyDescent="0.2">
      <c r="B65" s="76" t="str">
        <f>Gewichte!B47</f>
        <v>Fahrwerk CFK Meizlik, &amp; Achsen</v>
      </c>
      <c r="C65" s="235">
        <v>1</v>
      </c>
      <c r="D65" s="195">
        <f>Gewichte!C47</f>
        <v>44</v>
      </c>
      <c r="E65" s="517">
        <f>C65*D65</f>
        <v>44</v>
      </c>
      <c r="F65" s="235">
        <v>283</v>
      </c>
      <c r="G65" s="85">
        <f>E65*F65</f>
        <v>12452</v>
      </c>
      <c r="H65" s="3"/>
      <c r="I65" s="5"/>
      <c r="J65" s="360" t="s">
        <v>332</v>
      </c>
      <c r="K65" s="317"/>
      <c r="L65" s="361"/>
      <c r="M65" s="355">
        <f>N64/L63</f>
        <v>765.06705422310733</v>
      </c>
      <c r="N65" s="4"/>
      <c r="O65" s="362"/>
      <c r="P65" s="337"/>
    </row>
    <row r="66" spans="2:16" x14ac:dyDescent="0.2">
      <c r="B66" s="76" t="str">
        <f>Gewichte!B57</f>
        <v>Räder Graupner AIR-UL 55 x 22 mm (2)</v>
      </c>
      <c r="C66" s="235">
        <v>1</v>
      </c>
      <c r="D66" s="195">
        <f>Gewichte!C57</f>
        <v>27</v>
      </c>
      <c r="E66" s="517">
        <f>C66*D66</f>
        <v>27</v>
      </c>
      <c r="F66" s="235">
        <v>283</v>
      </c>
      <c r="G66" s="85">
        <f>E66*F66</f>
        <v>7641</v>
      </c>
      <c r="H66" s="3"/>
      <c r="I66" s="8"/>
      <c r="J66" s="104" t="s">
        <v>363</v>
      </c>
      <c r="K66" s="105"/>
      <c r="L66" s="263"/>
      <c r="M66" s="379">
        <f>M65-M42</f>
        <v>10.067054223107334</v>
      </c>
      <c r="N66" s="321"/>
      <c r="O66" s="385"/>
      <c r="P66" s="104"/>
    </row>
    <row r="67" spans="2:16" x14ac:dyDescent="0.2">
      <c r="B67" s="38"/>
      <c r="C67" s="235"/>
      <c r="D67" s="76"/>
      <c r="E67" s="578">
        <f>E65+E66</f>
        <v>71</v>
      </c>
      <c r="F67" s="89"/>
      <c r="G67" s="38"/>
      <c r="I67" s="9"/>
      <c r="J67" s="104"/>
      <c r="K67" s="105"/>
      <c r="L67" s="105"/>
      <c r="M67" s="321"/>
      <c r="N67" s="363"/>
      <c r="O67" s="105"/>
      <c r="P67" s="104"/>
    </row>
    <row r="68" spans="2:16" x14ac:dyDescent="0.2">
      <c r="B68" s="76" t="str">
        <f>Gewichte!B61</f>
        <v>Heckfahrwerk 1.5 mm, inkl. Rad</v>
      </c>
      <c r="C68" s="235">
        <v>1</v>
      </c>
      <c r="D68" s="244">
        <f>Gewichte!C61</f>
        <v>3</v>
      </c>
      <c r="E68" s="517">
        <f>C68*D68</f>
        <v>3</v>
      </c>
      <c r="F68" s="212">
        <v>1080</v>
      </c>
      <c r="G68" s="85">
        <f>E68*F68</f>
        <v>3240</v>
      </c>
      <c r="H68" s="3"/>
      <c r="I68" s="9"/>
      <c r="J68" s="463" t="s">
        <v>365</v>
      </c>
      <c r="K68" s="256"/>
      <c r="L68" s="250"/>
      <c r="M68" s="387"/>
      <c r="N68" s="386"/>
      <c r="O68" s="388"/>
      <c r="P68" s="104"/>
    </row>
    <row r="69" spans="2:16" x14ac:dyDescent="0.2">
      <c r="B69" s="406"/>
      <c r="C69" s="5"/>
      <c r="D69" s="437"/>
      <c r="E69" s="438"/>
      <c r="F69" s="439"/>
      <c r="G69" s="225"/>
      <c r="H69" s="3"/>
      <c r="I69" s="9"/>
      <c r="J69" s="104" t="s">
        <v>371</v>
      </c>
      <c r="K69" s="256"/>
      <c r="L69" s="354">
        <f>L63</f>
        <v>1817.5836649170401</v>
      </c>
      <c r="M69" s="387"/>
      <c r="N69" s="386"/>
      <c r="O69" s="388"/>
      <c r="P69" s="104"/>
    </row>
    <row r="70" spans="2:16" ht="13.5" thickBot="1" x14ac:dyDescent="0.25">
      <c r="B70" s="406"/>
      <c r="C70" s="5"/>
      <c r="D70" s="437"/>
      <c r="E70" s="438"/>
      <c r="F70" s="439"/>
      <c r="G70" s="225"/>
      <c r="H70" s="3"/>
      <c r="I70" s="9"/>
      <c r="J70" s="104" t="s">
        <v>374</v>
      </c>
      <c r="K70" s="256"/>
      <c r="L70" s="250"/>
      <c r="M70" s="423">
        <f>M66</f>
        <v>10.067054223107334</v>
      </c>
      <c r="N70" s="413"/>
      <c r="O70" s="388"/>
      <c r="P70" s="104"/>
    </row>
    <row r="71" spans="2:16" ht="13.5" thickBot="1" x14ac:dyDescent="0.25">
      <c r="B71" s="406"/>
      <c r="C71" s="5"/>
      <c r="D71" s="437"/>
      <c r="E71" s="438"/>
      <c r="F71" s="439"/>
      <c r="G71" s="225"/>
      <c r="H71" s="3"/>
      <c r="I71" s="9"/>
      <c r="J71" s="104" t="s">
        <v>382</v>
      </c>
      <c r="K71" s="256"/>
      <c r="L71" s="410"/>
      <c r="M71" s="387"/>
      <c r="N71" s="327">
        <f>L69*M70</f>
        <v>18297.713309753995</v>
      </c>
      <c r="O71" s="388"/>
      <c r="P71" s="104" t="s">
        <v>378</v>
      </c>
    </row>
    <row r="72" spans="2:16" ht="13.5" thickBot="1" x14ac:dyDescent="0.25">
      <c r="B72" s="406"/>
      <c r="C72" s="5"/>
      <c r="D72" s="437"/>
      <c r="E72" s="438"/>
      <c r="F72" s="439"/>
      <c r="G72" s="225"/>
      <c r="H72" s="3"/>
      <c r="I72" s="9"/>
      <c r="J72" s="104" t="s">
        <v>373</v>
      </c>
      <c r="K72" s="408"/>
      <c r="L72" s="342">
        <f>N71/Abmessungen!B28</f>
        <v>24.560689006381203</v>
      </c>
      <c r="M72" s="409"/>
      <c r="N72" s="414"/>
      <c r="O72" s="388"/>
      <c r="P72" s="104"/>
    </row>
    <row r="73" spans="2:16" ht="13.5" thickBot="1" x14ac:dyDescent="0.25">
      <c r="D73" s="2"/>
      <c r="E73" s="31"/>
      <c r="J73" s="104"/>
      <c r="K73" s="105"/>
      <c r="L73" s="367"/>
      <c r="M73" s="407"/>
      <c r="N73" s="105"/>
      <c r="O73" s="388"/>
      <c r="P73" s="105"/>
    </row>
    <row r="74" spans="2:16" ht="13.5" thickBot="1" x14ac:dyDescent="0.25">
      <c r="B74" s="247"/>
      <c r="C74" s="251"/>
      <c r="D74" s="2"/>
      <c r="E74" s="248"/>
      <c r="J74" s="389" t="s">
        <v>366</v>
      </c>
      <c r="K74" s="388"/>
      <c r="L74" s="391"/>
      <c r="M74" s="390"/>
      <c r="N74" s="327">
        <f>N71-N56</f>
        <v>16897.713309754039</v>
      </c>
      <c r="O74" s="388"/>
      <c r="P74" s="104" t="s">
        <v>378</v>
      </c>
    </row>
    <row r="75" spans="2:16" ht="13.5" thickBot="1" x14ac:dyDescent="0.25">
      <c r="B75" s="247"/>
      <c r="C75" s="251"/>
      <c r="D75" s="2"/>
      <c r="E75" s="31"/>
      <c r="J75" s="294" t="s">
        <v>381</v>
      </c>
      <c r="K75" s="390"/>
      <c r="L75" s="327">
        <f>N74/Abmessungen!B28</f>
        <v>22.681494375508777</v>
      </c>
      <c r="M75" s="388"/>
      <c r="N75" s="328"/>
      <c r="O75" s="105"/>
      <c r="P75" s="104" t="s">
        <v>378</v>
      </c>
    </row>
    <row r="76" spans="2:16" ht="15.75" customHeight="1" thickBot="1" x14ac:dyDescent="0.25">
      <c r="B76" s="20"/>
      <c r="C76" s="25"/>
      <c r="D76" s="280"/>
      <c r="E76" s="31"/>
      <c r="I76" s="9"/>
      <c r="J76" s="416" t="s">
        <v>596</v>
      </c>
      <c r="K76" s="105"/>
      <c r="L76" s="415">
        <v>0</v>
      </c>
      <c r="M76" s="105"/>
      <c r="N76" s="185"/>
      <c r="O76" s="105"/>
      <c r="P76" s="104" t="s">
        <v>377</v>
      </c>
    </row>
    <row r="77" spans="2:16" ht="13.5" thickBot="1" x14ac:dyDescent="0.25">
      <c r="B77" s="163"/>
      <c r="C77" s="251"/>
      <c r="D77" s="2"/>
      <c r="E77" s="33"/>
      <c r="F77" s="31"/>
      <c r="I77" s="9"/>
      <c r="J77" s="305" t="s">
        <v>394</v>
      </c>
      <c r="K77" s="390"/>
      <c r="L77" s="327">
        <f>L75-L76</f>
        <v>22.681494375508777</v>
      </c>
      <c r="M77" s="388"/>
      <c r="N77" s="105"/>
      <c r="O77" s="105"/>
      <c r="P77" s="105" t="s">
        <v>597</v>
      </c>
    </row>
    <row r="78" spans="2:16" x14ac:dyDescent="0.2">
      <c r="B78" s="163"/>
      <c r="C78" s="251"/>
      <c r="D78" s="2"/>
      <c r="E78" s="33"/>
      <c r="F78" s="31"/>
      <c r="I78" s="9"/>
    </row>
    <row r="79" spans="2:16" x14ac:dyDescent="0.2">
      <c r="B79" s="163"/>
      <c r="C79" s="251"/>
      <c r="D79" s="2"/>
      <c r="E79" s="33"/>
      <c r="F79" s="31"/>
      <c r="I79" s="9"/>
    </row>
    <row r="80" spans="2:16" ht="15.75" x14ac:dyDescent="0.25">
      <c r="B80" s="163"/>
      <c r="C80" s="251"/>
      <c r="D80" s="2"/>
      <c r="E80" s="33"/>
      <c r="F80" s="31"/>
      <c r="I80" s="9"/>
      <c r="J80" s="457" t="s">
        <v>419</v>
      </c>
    </row>
    <row r="81" spans="2:16" x14ac:dyDescent="0.2">
      <c r="B81" s="163"/>
      <c r="C81" s="251"/>
      <c r="D81" s="2"/>
      <c r="E81" s="33"/>
      <c r="I81" s="9"/>
    </row>
    <row r="82" spans="2:16" ht="25.5" x14ac:dyDescent="0.2">
      <c r="B82" s="163"/>
      <c r="C82" s="251"/>
      <c r="D82" s="32"/>
      <c r="E82" s="31"/>
      <c r="I82" s="9"/>
      <c r="J82" s="76" t="s">
        <v>392</v>
      </c>
      <c r="K82" s="426" t="s">
        <v>301</v>
      </c>
      <c r="L82" s="426" t="s">
        <v>287</v>
      </c>
      <c r="M82" s="434"/>
      <c r="N82" s="424"/>
      <c r="O82" s="425" t="s">
        <v>286</v>
      </c>
      <c r="P82" s="427" t="s">
        <v>383</v>
      </c>
    </row>
    <row r="83" spans="2:16" x14ac:dyDescent="0.2">
      <c r="B83" s="163"/>
      <c r="C83" s="2"/>
      <c r="D83" s="2"/>
      <c r="E83" s="33"/>
      <c r="F83" s="1"/>
      <c r="I83" s="9"/>
      <c r="J83" s="38"/>
      <c r="K83" s="38"/>
      <c r="L83" s="105"/>
      <c r="M83" s="320"/>
      <c r="N83" s="120"/>
      <c r="O83" s="283"/>
      <c r="P83" s="38"/>
    </row>
    <row r="84" spans="2:16" x14ac:dyDescent="0.2">
      <c r="I84" s="9"/>
      <c r="J84" s="76" t="s">
        <v>312</v>
      </c>
      <c r="K84" s="286">
        <f>'Daten und Rechnungen'!C43</f>
        <v>546.81124999999997</v>
      </c>
      <c r="L84" s="286">
        <f>(Abmessungen!B73)</f>
        <v>10</v>
      </c>
      <c r="M84" s="320"/>
      <c r="N84" s="105"/>
      <c r="O84" s="190">
        <f>K84*L84</f>
        <v>5468.1124999999993</v>
      </c>
      <c r="P84" s="181" t="s">
        <v>303</v>
      </c>
    </row>
    <row r="85" spans="2:16" x14ac:dyDescent="0.2">
      <c r="I85" s="9"/>
      <c r="J85" s="104" t="s">
        <v>549</v>
      </c>
      <c r="K85" s="286">
        <f>'Daten und Rechnungen'!C39</f>
        <v>45.326250000000002</v>
      </c>
      <c r="L85" s="286">
        <f>O20</f>
        <v>20</v>
      </c>
      <c r="M85" s="320"/>
      <c r="N85" s="105"/>
      <c r="O85" s="190">
        <f>K85*L85</f>
        <v>906.52500000000009</v>
      </c>
      <c r="P85" s="181" t="s">
        <v>303</v>
      </c>
    </row>
    <row r="86" spans="2:16" x14ac:dyDescent="0.2">
      <c r="J86" s="104" t="s">
        <v>550</v>
      </c>
      <c r="K86" s="233">
        <v>20</v>
      </c>
      <c r="L86" s="286">
        <f>Abmessungen!B22+Schwerpunktrechnung!C41</f>
        <v>650.61460179167545</v>
      </c>
      <c r="M86" s="273" t="s">
        <v>384</v>
      </c>
      <c r="N86" s="105"/>
      <c r="O86" s="190">
        <f>K86*L86</f>
        <v>13012.292035833509</v>
      </c>
      <c r="P86" s="181" t="s">
        <v>303</v>
      </c>
    </row>
    <row r="87" spans="2:16" x14ac:dyDescent="0.2">
      <c r="J87" s="104"/>
      <c r="K87" s="185"/>
      <c r="L87" s="185"/>
      <c r="M87" s="320"/>
      <c r="N87" s="105"/>
      <c r="O87" s="262"/>
      <c r="P87" s="110"/>
    </row>
    <row r="88" spans="2:16" x14ac:dyDescent="0.2">
      <c r="J88" s="104" t="s">
        <v>391</v>
      </c>
      <c r="K88" s="228">
        <f>'Daten und Rechnungen'!C38</f>
        <v>56.61</v>
      </c>
      <c r="L88" s="228">
        <f>O21+40</f>
        <v>200</v>
      </c>
      <c r="M88" s="435"/>
      <c r="N88" s="105"/>
      <c r="O88" s="190">
        <f>K88*L88</f>
        <v>11322</v>
      </c>
      <c r="P88" s="181" t="s">
        <v>304</v>
      </c>
    </row>
    <row r="89" spans="2:16" ht="13.5" thickBot="1" x14ac:dyDescent="0.25">
      <c r="J89" s="296" t="s">
        <v>313</v>
      </c>
      <c r="K89" s="190">
        <f>O89/L89</f>
        <v>62.989633408513463</v>
      </c>
      <c r="L89" s="286">
        <f>Abmessungen!B21+Schwerpunktrechnung!C42</f>
        <v>275.2067993089326</v>
      </c>
      <c r="M89" s="320" t="s">
        <v>384</v>
      </c>
      <c r="N89" s="105"/>
      <c r="O89" s="190">
        <f>'Daten und Rechnungen'!C58</f>
        <v>17335.1754</v>
      </c>
      <c r="P89" s="181" t="s">
        <v>304</v>
      </c>
    </row>
    <row r="90" spans="2:16" ht="13.5" thickBot="1" x14ac:dyDescent="0.25">
      <c r="J90" s="295" t="s">
        <v>306</v>
      </c>
      <c r="K90" s="288"/>
      <c r="L90" s="185"/>
      <c r="M90" s="110"/>
      <c r="N90" s="38"/>
      <c r="O90" s="180">
        <f>(O89+O88)-(O86+O84+O85)</f>
        <v>9270.2458641664925</v>
      </c>
      <c r="P90" s="181" t="s">
        <v>304</v>
      </c>
    </row>
    <row r="91" spans="2:16" ht="13.5" thickBot="1" x14ac:dyDescent="0.25">
      <c r="J91" s="297" t="s">
        <v>393</v>
      </c>
      <c r="K91" s="190">
        <f>O90/L89</f>
        <v>33.684654185306684</v>
      </c>
      <c r="L91" s="286">
        <f>L89</f>
        <v>275.2067993089326</v>
      </c>
      <c r="M91" s="110" t="s">
        <v>384</v>
      </c>
      <c r="N91" s="38"/>
      <c r="O91" s="289">
        <f>K91*L91</f>
        <v>9270.2458641664925</v>
      </c>
      <c r="P91" s="181" t="s">
        <v>303</v>
      </c>
    </row>
    <row r="92" spans="2:16" ht="13.5" thickBot="1" x14ac:dyDescent="0.25">
      <c r="J92" s="295" t="s">
        <v>320</v>
      </c>
      <c r="K92" s="292"/>
      <c r="L92" s="185"/>
      <c r="M92" s="110"/>
      <c r="N92" s="287"/>
      <c r="O92" s="291">
        <f>O90+O91</f>
        <v>18540.491728332985</v>
      </c>
      <c r="P92" s="110"/>
    </row>
    <row r="93" spans="2:16" x14ac:dyDescent="0.2">
      <c r="J93" s="294" t="s">
        <v>311</v>
      </c>
      <c r="K93" s="286">
        <f>K91</f>
        <v>33.684654185306684</v>
      </c>
      <c r="L93" s="185"/>
      <c r="M93" s="38"/>
      <c r="N93" s="285"/>
      <c r="O93" s="290"/>
      <c r="P93" s="110"/>
    </row>
    <row r="94" spans="2:16" ht="13.5" thickBot="1" x14ac:dyDescent="0.25">
      <c r="J94" s="296" t="s">
        <v>305</v>
      </c>
      <c r="K94" s="286">
        <f>K84</f>
        <v>546.81124999999997</v>
      </c>
      <c r="L94" s="433"/>
      <c r="M94" s="38"/>
      <c r="N94" s="105"/>
      <c r="O94" s="185"/>
      <c r="P94" s="440"/>
    </row>
    <row r="95" spans="2:16" ht="13.5" thickBot="1" x14ac:dyDescent="0.25">
      <c r="J95" s="441" t="s">
        <v>395</v>
      </c>
      <c r="K95" s="436">
        <f>K93/K94</f>
        <v>6.1601977255052245E-2</v>
      </c>
      <c r="L95" s="342">
        <f>180 /3.14159*(ATAN(K95))</f>
        <v>3.5250817932768332</v>
      </c>
      <c r="M95" s="288"/>
      <c r="N95" s="105"/>
      <c r="O95" s="185"/>
      <c r="P95" s="386"/>
    </row>
    <row r="96" spans="2:16" x14ac:dyDescent="0.2">
      <c r="J96" s="8"/>
      <c r="K96" s="268"/>
    </row>
    <row r="97" spans="10:16" x14ac:dyDescent="0.2">
      <c r="J97" s="8"/>
      <c r="K97" s="268"/>
    </row>
    <row r="98" spans="10:16" ht="15.75" x14ac:dyDescent="0.25">
      <c r="J98" s="457" t="s">
        <v>413</v>
      </c>
      <c r="K98" s="269"/>
    </row>
    <row r="99" spans="10:16" x14ac:dyDescent="0.2">
      <c r="K99" s="269"/>
    </row>
    <row r="100" spans="10:16" ht="25.5" x14ac:dyDescent="0.2">
      <c r="J100" s="104" t="s">
        <v>414</v>
      </c>
      <c r="K100" s="171" t="s">
        <v>396</v>
      </c>
      <c r="L100" s="171" t="s">
        <v>287</v>
      </c>
      <c r="M100" s="171"/>
      <c r="N100" s="442"/>
      <c r="O100" s="171" t="s">
        <v>286</v>
      </c>
      <c r="P100" s="427" t="s">
        <v>383</v>
      </c>
    </row>
    <row r="101" spans="10:16" x14ac:dyDescent="0.2">
      <c r="J101" s="104"/>
      <c r="K101" s="38"/>
      <c r="L101" s="38"/>
      <c r="M101" s="38"/>
      <c r="N101" s="38"/>
      <c r="O101" s="38"/>
      <c r="P101" s="38"/>
    </row>
    <row r="102" spans="10:16" x14ac:dyDescent="0.2">
      <c r="J102" s="348" t="s">
        <v>417</v>
      </c>
      <c r="K102" s="286">
        <f>'Daten und Rechnungen'!C24*1000</f>
        <v>5521.8367382071392</v>
      </c>
      <c r="L102" s="286">
        <f>Abmessungen!B22+Abmessungen!B35</f>
        <v>657</v>
      </c>
      <c r="M102" s="76"/>
      <c r="N102" s="38"/>
      <c r="O102" s="190">
        <f>K102*L102</f>
        <v>3627846.7370020906</v>
      </c>
      <c r="P102" s="181" t="s">
        <v>349</v>
      </c>
    </row>
    <row r="103" spans="10:16" x14ac:dyDescent="0.2">
      <c r="J103" s="76" t="s">
        <v>401</v>
      </c>
      <c r="K103" s="190">
        <f>O103/L103</f>
        <v>68.961736604808664</v>
      </c>
      <c r="L103" s="286">
        <f>Abmessungen!B22+Schwerpunktrechnung!C41</f>
        <v>650.61460179167545</v>
      </c>
      <c r="M103" s="38"/>
      <c r="N103" s="38"/>
      <c r="O103" s="190">
        <f>'Daten und Rechnungen'!C60</f>
        <v>44867.512799999997</v>
      </c>
      <c r="P103" s="181" t="s">
        <v>400</v>
      </c>
    </row>
    <row r="104" spans="10:16" x14ac:dyDescent="0.2">
      <c r="J104" s="76" t="s">
        <v>407</v>
      </c>
      <c r="K104" s="190">
        <f>K102-K103</f>
        <v>5452.8750016023305</v>
      </c>
      <c r="L104" s="185"/>
      <c r="M104" s="105"/>
      <c r="N104" s="105"/>
      <c r="O104" s="262"/>
      <c r="P104" s="181"/>
    </row>
    <row r="105" spans="10:16" ht="13.5" thickBot="1" x14ac:dyDescent="0.25">
      <c r="J105" s="76"/>
      <c r="K105" s="329"/>
      <c r="L105" s="185"/>
      <c r="M105" s="105"/>
      <c r="N105" s="105"/>
      <c r="O105" s="183"/>
      <c r="P105" s="181"/>
    </row>
    <row r="106" spans="10:16" ht="13.5" thickBot="1" x14ac:dyDescent="0.25">
      <c r="J106" s="175" t="s">
        <v>415</v>
      </c>
      <c r="K106" s="327">
        <f>K103</f>
        <v>68.961736604808664</v>
      </c>
      <c r="L106" s="458">
        <f>L120</f>
        <v>4.5974491069872441</v>
      </c>
      <c r="M106" s="443" t="s">
        <v>405</v>
      </c>
      <c r="O106" s="38"/>
      <c r="P106" s="181" t="s">
        <v>349</v>
      </c>
    </row>
    <row r="107" spans="10:16" ht="13.5" thickBot="1" x14ac:dyDescent="0.25">
      <c r="J107" s="293"/>
      <c r="K107" s="412"/>
      <c r="L107" s="38"/>
      <c r="M107" s="38"/>
      <c r="N107" s="38"/>
      <c r="O107" s="38"/>
      <c r="P107" s="38"/>
    </row>
    <row r="108" spans="10:16" ht="13.5" thickBot="1" x14ac:dyDescent="0.25">
      <c r="J108" s="445" t="s">
        <v>435</v>
      </c>
      <c r="K108" s="459">
        <f>K104+K106</f>
        <v>5521.8367382071392</v>
      </c>
      <c r="L108" s="288"/>
      <c r="M108" s="38"/>
      <c r="N108" s="38"/>
      <c r="O108" s="38"/>
      <c r="P108" s="76"/>
    </row>
    <row r="109" spans="10:16" x14ac:dyDescent="0.2">
      <c r="J109" s="343"/>
      <c r="K109" s="444"/>
      <c r="L109" s="38"/>
      <c r="M109" s="38"/>
      <c r="N109" s="38"/>
      <c r="O109" s="262"/>
      <c r="P109" s="181"/>
    </row>
    <row r="110" spans="10:16" x14ac:dyDescent="0.2">
      <c r="J110" s="343"/>
      <c r="K110" s="444"/>
      <c r="L110" s="38"/>
      <c r="M110" s="38"/>
      <c r="N110" s="38"/>
      <c r="O110" s="262"/>
      <c r="P110" s="181"/>
    </row>
    <row r="111" spans="10:16" x14ac:dyDescent="0.2">
      <c r="J111" s="348" t="s">
        <v>418</v>
      </c>
      <c r="K111" s="286">
        <f>K102</f>
        <v>5521.8367382071392</v>
      </c>
      <c r="L111" s="286">
        <f>L102</f>
        <v>657</v>
      </c>
      <c r="M111" s="76"/>
      <c r="N111" s="38"/>
      <c r="O111" s="190">
        <f>K111*L111</f>
        <v>3627846.7370020906</v>
      </c>
      <c r="P111" s="181" t="s">
        <v>349</v>
      </c>
    </row>
    <row r="112" spans="10:16" x14ac:dyDescent="0.2">
      <c r="J112" s="76" t="s">
        <v>402</v>
      </c>
      <c r="K112" s="190">
        <f>K103</f>
        <v>68.961736604808664</v>
      </c>
      <c r="L112" s="286">
        <f>L103</f>
        <v>650.61460179167545</v>
      </c>
      <c r="M112" s="38"/>
      <c r="N112" s="38"/>
      <c r="O112" s="190">
        <f>K112*L112</f>
        <v>44867.512799999997</v>
      </c>
      <c r="P112" s="181" t="s">
        <v>349</v>
      </c>
    </row>
    <row r="113" spans="10:16" x14ac:dyDescent="0.2">
      <c r="J113" s="76" t="s">
        <v>406</v>
      </c>
      <c r="K113" s="190">
        <f>K111+K112</f>
        <v>5590.7984748119479</v>
      </c>
      <c r="L113" s="185"/>
      <c r="M113" s="105"/>
      <c r="N113" s="105"/>
      <c r="O113" s="262"/>
      <c r="P113" s="181"/>
    </row>
    <row r="114" spans="10:16" x14ac:dyDescent="0.2">
      <c r="J114" s="76"/>
      <c r="K114" s="262"/>
      <c r="L114" s="185"/>
      <c r="M114" s="105"/>
      <c r="N114" s="105"/>
      <c r="O114" s="183"/>
      <c r="P114" s="181"/>
    </row>
    <row r="115" spans="10:16" x14ac:dyDescent="0.2">
      <c r="J115" s="77" t="s">
        <v>416</v>
      </c>
      <c r="K115" s="183">
        <v>15</v>
      </c>
      <c r="L115" s="447">
        <v>1</v>
      </c>
      <c r="M115" s="443" t="s">
        <v>404</v>
      </c>
      <c r="O115" s="38"/>
      <c r="P115" s="181" t="s">
        <v>400</v>
      </c>
    </row>
    <row r="116" spans="10:16" ht="13.5" thickBot="1" x14ac:dyDescent="0.25">
      <c r="J116" s="293"/>
      <c r="K116" s="317"/>
      <c r="L116" s="38"/>
      <c r="M116" s="38"/>
      <c r="N116" s="38"/>
      <c r="O116" s="38"/>
      <c r="P116" s="38"/>
    </row>
    <row r="117" spans="10:16" ht="13.5" thickBot="1" x14ac:dyDescent="0.25">
      <c r="J117" s="445" t="s">
        <v>408</v>
      </c>
      <c r="K117" s="446">
        <f>K113-K115</f>
        <v>5575.7984748119479</v>
      </c>
      <c r="L117" s="288"/>
      <c r="M117" s="38"/>
      <c r="N117" s="38"/>
      <c r="O117" s="38"/>
      <c r="P117" s="76"/>
    </row>
    <row r="118" spans="10:16" ht="13.5" thickBot="1" x14ac:dyDescent="0.25">
      <c r="J118" s="38"/>
      <c r="K118" s="317"/>
      <c r="L118" s="38"/>
      <c r="M118" s="38"/>
      <c r="N118" s="38"/>
      <c r="O118" s="38"/>
      <c r="P118" s="38"/>
    </row>
    <row r="119" spans="10:16" ht="13.5" thickBot="1" x14ac:dyDescent="0.25">
      <c r="J119" s="175" t="s">
        <v>403</v>
      </c>
      <c r="K119" s="327">
        <f>K117-K111</f>
        <v>53.961736604808721</v>
      </c>
      <c r="L119" s="288"/>
      <c r="M119" s="38"/>
      <c r="N119" s="38"/>
      <c r="O119" s="38"/>
      <c r="P119" s="38"/>
    </row>
    <row r="120" spans="10:16" x14ac:dyDescent="0.2">
      <c r="J120" s="76" t="s">
        <v>410</v>
      </c>
      <c r="K120" s="94"/>
      <c r="L120" s="448">
        <f>K106/K115</f>
        <v>4.5974491069872441</v>
      </c>
      <c r="M120" s="76" t="s">
        <v>429</v>
      </c>
      <c r="N120" s="38"/>
      <c r="O120" s="38"/>
      <c r="P120" s="38"/>
    </row>
    <row r="121" spans="10:16" ht="13.5" thickBot="1" x14ac:dyDescent="0.25"/>
    <row r="122" spans="10:16" ht="13.5" thickBot="1" x14ac:dyDescent="0.25">
      <c r="J122" s="453" t="s">
        <v>438</v>
      </c>
      <c r="K122" s="482"/>
      <c r="L122" s="454" t="s">
        <v>624</v>
      </c>
      <c r="M122" s="376"/>
      <c r="N122" s="38"/>
      <c r="O122" s="38"/>
      <c r="P122" s="76"/>
    </row>
    <row r="123" spans="10:16" ht="13.5" thickBot="1" x14ac:dyDescent="0.25"/>
    <row r="124" spans="10:16" ht="26.25" thickBot="1" x14ac:dyDescent="0.25">
      <c r="J124" s="441" t="s">
        <v>485</v>
      </c>
      <c r="K124" s="450" t="s">
        <v>301</v>
      </c>
      <c r="L124" s="426" t="s">
        <v>287</v>
      </c>
      <c r="M124" s="434"/>
      <c r="N124" s="424"/>
      <c r="O124" s="425" t="s">
        <v>286</v>
      </c>
      <c r="P124" s="319" t="s">
        <v>383</v>
      </c>
    </row>
    <row r="125" spans="10:16" ht="13.5" thickBot="1" x14ac:dyDescent="0.25">
      <c r="J125" s="456" t="s">
        <v>412</v>
      </c>
      <c r="K125" s="452">
        <f>Schwerpunktrechnung!C35*J10</f>
        <v>5521.8367382071392</v>
      </c>
      <c r="L125" s="190">
        <f>Schwerpunktrechnung!C41-Abmessungen!B35</f>
        <v>-6.3853982083245455</v>
      </c>
      <c r="M125" s="38"/>
      <c r="N125" s="38"/>
      <c r="O125" s="190">
        <f>K125*L125</f>
        <v>-35259.126414808517</v>
      </c>
      <c r="P125" s="38"/>
    </row>
    <row r="126" spans="10:16" ht="13.5" thickBot="1" x14ac:dyDescent="0.25">
      <c r="J126" s="451" t="s">
        <v>436</v>
      </c>
      <c r="K126" s="327">
        <f>O125/Abmessungen!B27</f>
        <v>-46.700829688488099</v>
      </c>
      <c r="L126" s="288"/>
      <c r="M126" s="38"/>
      <c r="N126" s="38"/>
      <c r="O126" s="38"/>
      <c r="P126" s="76" t="s">
        <v>411</v>
      </c>
    </row>
    <row r="127" spans="10:16" ht="13.5" thickBot="1" x14ac:dyDescent="0.25">
      <c r="J127" s="455" t="s">
        <v>437</v>
      </c>
      <c r="K127" s="327">
        <f>K126*0.25</f>
        <v>-11.675207422122025</v>
      </c>
      <c r="L127" s="288"/>
      <c r="M127" s="38"/>
      <c r="N127" s="38"/>
      <c r="O127" s="38"/>
      <c r="P127" s="38"/>
    </row>
    <row r="128" spans="10:16" x14ac:dyDescent="0.2">
      <c r="J128" s="301"/>
    </row>
    <row r="129" spans="9:10" x14ac:dyDescent="0.2">
      <c r="J129" s="302"/>
    </row>
    <row r="130" spans="9:10" x14ac:dyDescent="0.2">
      <c r="J130" s="303"/>
    </row>
    <row r="144" spans="9:10" x14ac:dyDescent="0.2">
      <c r="I144" s="2"/>
    </row>
    <row r="146" spans="9:9" x14ac:dyDescent="0.2">
      <c r="I146" s="2"/>
    </row>
    <row r="147" spans="9:9" x14ac:dyDescent="0.2">
      <c r="I147" s="2"/>
    </row>
    <row r="148" spans="9:9" x14ac:dyDescent="0.2">
      <c r="I148" s="2"/>
    </row>
    <row r="149" spans="9:9" x14ac:dyDescent="0.2">
      <c r="I149" s="2"/>
    </row>
  </sheetData>
  <mergeCells count="1">
    <mergeCell ref="C8:F8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N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5"/>
  <sheetViews>
    <sheetView topLeftCell="A10" zoomScale="98" zoomScaleNormal="98" workbookViewId="0">
      <selection activeCell="G31" sqref="G31"/>
    </sheetView>
  </sheetViews>
  <sheetFormatPr baseColWidth="10" defaultRowHeight="12.75" x14ac:dyDescent="0.2"/>
  <cols>
    <col min="1" max="1" width="2.7109375" customWidth="1"/>
    <col min="2" max="2" width="46.7109375" customWidth="1"/>
    <col min="3" max="3" width="9.5703125" style="34" customWidth="1"/>
    <col min="4" max="4" width="8.140625" customWidth="1"/>
    <col min="5" max="5" width="8.85546875" customWidth="1"/>
    <col min="6" max="6" width="10.7109375" customWidth="1"/>
    <col min="7" max="7" width="11" customWidth="1"/>
    <col min="8" max="8" width="14.140625" customWidth="1"/>
  </cols>
  <sheetData>
    <row r="2" spans="2:8" x14ac:dyDescent="0.2">
      <c r="B2" s="39" t="s">
        <v>75</v>
      </c>
      <c r="C2" s="62" t="s">
        <v>86</v>
      </c>
      <c r="F2" s="37"/>
    </row>
    <row r="3" spans="2:8" x14ac:dyDescent="0.2">
      <c r="B3" s="39" t="s">
        <v>95</v>
      </c>
      <c r="C3" s="64"/>
    </row>
    <row r="4" spans="2:8" x14ac:dyDescent="0.2">
      <c r="B4" s="38" t="s">
        <v>80</v>
      </c>
      <c r="C4" s="189"/>
    </row>
    <row r="5" spans="2:8" x14ac:dyDescent="0.2">
      <c r="B5" s="39" t="s">
        <v>90</v>
      </c>
      <c r="C5" s="116"/>
    </row>
    <row r="6" spans="2:8" x14ac:dyDescent="0.2">
      <c r="B6" s="89" t="s">
        <v>96</v>
      </c>
      <c r="C6" s="188"/>
    </row>
    <row r="7" spans="2:8" ht="13.5" thickBot="1" x14ac:dyDescent="0.25"/>
    <row r="8" spans="2:8" ht="42.75" customHeight="1" thickBot="1" x14ac:dyDescent="0.3">
      <c r="B8" s="75" t="s">
        <v>25</v>
      </c>
      <c r="C8" s="609" t="str">
        <f>Schwerpunktrechnung!B2</f>
        <v>Fiat C. 29</v>
      </c>
      <c r="D8" s="610"/>
      <c r="E8" s="610"/>
      <c r="F8" s="610"/>
      <c r="G8" s="611"/>
      <c r="H8" s="140"/>
    </row>
    <row r="9" spans="2:8" x14ac:dyDescent="0.2">
      <c r="B9" s="76" t="s">
        <v>46</v>
      </c>
      <c r="C9" s="193">
        <f>Abmessungen!B83</f>
        <v>36.388800000000003</v>
      </c>
      <c r="D9" s="38"/>
      <c r="E9" s="77"/>
      <c r="F9" s="77"/>
      <c r="G9" s="139">
        <f>Schwerpunktrechnung!E2</f>
        <v>44096</v>
      </c>
      <c r="H9" s="94"/>
    </row>
    <row r="10" spans="2:8" x14ac:dyDescent="0.2">
      <c r="B10" s="76" t="str">
        <f>Schwerpunktrechnung!B18</f>
        <v>Datum: Rückseite Spinner</v>
      </c>
      <c r="C10" s="97"/>
      <c r="D10" s="38"/>
      <c r="E10" s="77"/>
      <c r="F10" s="77"/>
      <c r="G10" s="78"/>
      <c r="H10" s="38"/>
    </row>
    <row r="11" spans="2:8" x14ac:dyDescent="0.2">
      <c r="B11" s="76"/>
      <c r="C11" s="84"/>
      <c r="D11" s="77"/>
      <c r="E11" s="77"/>
      <c r="F11" s="77"/>
      <c r="G11" s="78"/>
      <c r="H11" s="38"/>
    </row>
    <row r="12" spans="2:8" ht="38.25" x14ac:dyDescent="0.2">
      <c r="B12" s="76"/>
      <c r="C12" s="84"/>
      <c r="D12" s="79" t="s">
        <v>32</v>
      </c>
      <c r="E12" s="79" t="s">
        <v>30</v>
      </c>
      <c r="F12" s="79" t="s">
        <v>0</v>
      </c>
      <c r="G12" s="80" t="s">
        <v>33</v>
      </c>
      <c r="H12" s="81" t="s">
        <v>2</v>
      </c>
    </row>
    <row r="13" spans="2:8" x14ac:dyDescent="0.2">
      <c r="B13" s="77"/>
      <c r="C13" s="91"/>
      <c r="D13" s="77"/>
      <c r="E13" s="77"/>
      <c r="F13" s="77"/>
      <c r="G13" s="78"/>
      <c r="H13" s="38"/>
    </row>
    <row r="14" spans="2:8" x14ac:dyDescent="0.2">
      <c r="B14" s="187" t="s">
        <v>577</v>
      </c>
      <c r="C14" s="96"/>
      <c r="D14" s="236">
        <v>2</v>
      </c>
      <c r="E14" s="236">
        <v>42</v>
      </c>
      <c r="F14" s="516">
        <f t="shared" ref="F14:F18" si="0">D14*E14</f>
        <v>84</v>
      </c>
      <c r="G14" s="235">
        <v>450</v>
      </c>
      <c r="H14" s="85">
        <f>F14*G14</f>
        <v>37800</v>
      </c>
    </row>
    <row r="15" spans="2:8" x14ac:dyDescent="0.2">
      <c r="B15" s="76" t="s">
        <v>578</v>
      </c>
      <c r="C15" s="96"/>
      <c r="D15" s="236">
        <v>1</v>
      </c>
      <c r="E15" s="236">
        <v>8</v>
      </c>
      <c r="F15" s="516">
        <f t="shared" si="0"/>
        <v>8</v>
      </c>
      <c r="G15" s="235">
        <v>7</v>
      </c>
      <c r="H15" s="85">
        <f t="shared" ref="H15:H34" si="1">F15*G15</f>
        <v>56</v>
      </c>
    </row>
    <row r="16" spans="2:8" x14ac:dyDescent="0.2">
      <c r="B16" s="76" t="s">
        <v>244</v>
      </c>
      <c r="C16" s="96"/>
      <c r="D16" s="236">
        <v>1</v>
      </c>
      <c r="E16" s="236">
        <v>4</v>
      </c>
      <c r="F16" s="516">
        <f>D16*E16</f>
        <v>4</v>
      </c>
      <c r="G16" s="236">
        <v>2</v>
      </c>
      <c r="H16" s="85">
        <f>F16*G16</f>
        <v>8</v>
      </c>
    </row>
    <row r="17" spans="2:8" x14ac:dyDescent="0.2">
      <c r="B17" s="76" t="s">
        <v>269</v>
      </c>
      <c r="C17" s="96"/>
      <c r="D17" s="236">
        <v>1</v>
      </c>
      <c r="E17" s="236">
        <v>12</v>
      </c>
      <c r="F17" s="516">
        <f t="shared" si="0"/>
        <v>12</v>
      </c>
      <c r="G17" s="235">
        <v>280</v>
      </c>
      <c r="H17" s="85">
        <f t="shared" si="1"/>
        <v>3360</v>
      </c>
    </row>
    <row r="18" spans="2:8" x14ac:dyDescent="0.2">
      <c r="B18" s="76" t="s">
        <v>588</v>
      </c>
      <c r="C18" s="96"/>
      <c r="D18" s="236">
        <v>1</v>
      </c>
      <c r="E18" s="236">
        <v>27</v>
      </c>
      <c r="F18" s="516">
        <f t="shared" si="0"/>
        <v>27</v>
      </c>
      <c r="G18" s="233">
        <v>540</v>
      </c>
      <c r="H18" s="85">
        <f t="shared" si="1"/>
        <v>14580</v>
      </c>
    </row>
    <row r="19" spans="2:8" x14ac:dyDescent="0.2">
      <c r="B19" s="76" t="s">
        <v>583</v>
      </c>
      <c r="C19" s="96"/>
      <c r="D19" s="236">
        <v>1</v>
      </c>
      <c r="E19" s="236">
        <v>16</v>
      </c>
      <c r="F19" s="516">
        <f t="shared" ref="F19:F34" si="2">D19*E19</f>
        <v>16</v>
      </c>
      <c r="G19" s="236">
        <v>235</v>
      </c>
      <c r="H19" s="85">
        <f t="shared" si="1"/>
        <v>3760</v>
      </c>
    </row>
    <row r="20" spans="2:8" x14ac:dyDescent="0.2">
      <c r="B20" s="76" t="s">
        <v>579</v>
      </c>
      <c r="C20" s="96"/>
      <c r="D20" s="236">
        <v>1</v>
      </c>
      <c r="E20" s="236">
        <v>17</v>
      </c>
      <c r="F20" s="516">
        <f t="shared" si="2"/>
        <v>17</v>
      </c>
      <c r="G20" s="235">
        <v>195</v>
      </c>
      <c r="H20" s="85">
        <f t="shared" si="1"/>
        <v>3315</v>
      </c>
    </row>
    <row r="21" spans="2:8" x14ac:dyDescent="0.2">
      <c r="B21" s="76" t="s">
        <v>214</v>
      </c>
      <c r="C21" s="96"/>
      <c r="D21" s="236">
        <v>1</v>
      </c>
      <c r="E21" s="236">
        <v>10</v>
      </c>
      <c r="F21" s="516">
        <f t="shared" si="2"/>
        <v>10</v>
      </c>
      <c r="G21" s="211">
        <f>G18+Abmessungen!B22</f>
        <v>1015</v>
      </c>
      <c r="H21" s="85">
        <f>F21*G21</f>
        <v>10150</v>
      </c>
    </row>
    <row r="22" spans="2:8" x14ac:dyDescent="0.2">
      <c r="B22" s="187" t="s">
        <v>582</v>
      </c>
      <c r="C22" s="96"/>
      <c r="D22" s="236">
        <v>1</v>
      </c>
      <c r="E22" s="236">
        <v>18</v>
      </c>
      <c r="F22" s="516">
        <f t="shared" ref="F22:F29" si="3">D22*E22</f>
        <v>18</v>
      </c>
      <c r="G22" s="236">
        <v>150</v>
      </c>
      <c r="H22" s="85">
        <f t="shared" ref="H22:H29" si="4">F22*G22</f>
        <v>2700</v>
      </c>
    </row>
    <row r="23" spans="2:8" x14ac:dyDescent="0.2">
      <c r="B23" s="187" t="s">
        <v>245</v>
      </c>
      <c r="C23" s="96"/>
      <c r="D23" s="236">
        <v>1</v>
      </c>
      <c r="E23" s="236">
        <v>8</v>
      </c>
      <c r="F23" s="516">
        <f t="shared" si="3"/>
        <v>8</v>
      </c>
      <c r="G23" s="236">
        <v>370</v>
      </c>
      <c r="H23" s="85">
        <f t="shared" si="4"/>
        <v>2960</v>
      </c>
    </row>
    <row r="24" spans="2:8" x14ac:dyDescent="0.2">
      <c r="B24" s="187" t="s">
        <v>215</v>
      </c>
      <c r="C24" s="96"/>
      <c r="D24" s="236">
        <v>1</v>
      </c>
      <c r="E24" s="236">
        <v>10</v>
      </c>
      <c r="F24" s="516">
        <f t="shared" si="3"/>
        <v>10</v>
      </c>
      <c r="G24" s="236">
        <v>75</v>
      </c>
      <c r="H24" s="85">
        <f t="shared" si="4"/>
        <v>750</v>
      </c>
    </row>
    <row r="25" spans="2:8" x14ac:dyDescent="0.2">
      <c r="B25" s="187" t="s">
        <v>589</v>
      </c>
      <c r="C25" s="96"/>
      <c r="D25" s="236">
        <v>2</v>
      </c>
      <c r="E25" s="236">
        <v>3</v>
      </c>
      <c r="F25" s="516">
        <f t="shared" si="3"/>
        <v>6</v>
      </c>
      <c r="G25" s="236">
        <v>150</v>
      </c>
      <c r="H25" s="85">
        <f t="shared" si="4"/>
        <v>900</v>
      </c>
    </row>
    <row r="26" spans="2:8" x14ac:dyDescent="0.2">
      <c r="B26" s="76" t="s">
        <v>133</v>
      </c>
      <c r="C26" s="96"/>
      <c r="D26" s="236">
        <v>1</v>
      </c>
      <c r="E26" s="236">
        <v>8</v>
      </c>
      <c r="F26" s="516">
        <f t="shared" si="3"/>
        <v>8</v>
      </c>
      <c r="G26" s="236">
        <v>975</v>
      </c>
      <c r="H26" s="85">
        <f t="shared" si="4"/>
        <v>7800</v>
      </c>
    </row>
    <row r="27" spans="2:8" x14ac:dyDescent="0.2">
      <c r="B27" s="76" t="s">
        <v>170</v>
      </c>
      <c r="C27" s="96"/>
      <c r="D27" s="236">
        <v>1</v>
      </c>
      <c r="E27" s="236">
        <v>3</v>
      </c>
      <c r="F27" s="516">
        <f t="shared" si="3"/>
        <v>3</v>
      </c>
      <c r="G27" s="236">
        <v>285</v>
      </c>
      <c r="H27" s="85">
        <f t="shared" si="4"/>
        <v>855</v>
      </c>
    </row>
    <row r="28" spans="2:8" x14ac:dyDescent="0.2">
      <c r="B28" s="76" t="s">
        <v>217</v>
      </c>
      <c r="C28" s="96"/>
      <c r="D28" s="236">
        <v>1</v>
      </c>
      <c r="E28" s="236">
        <v>6</v>
      </c>
      <c r="F28" s="516">
        <f t="shared" si="3"/>
        <v>6</v>
      </c>
      <c r="G28" s="236">
        <v>1070</v>
      </c>
      <c r="H28" s="85">
        <f t="shared" si="4"/>
        <v>6420</v>
      </c>
    </row>
    <row r="29" spans="2:8" x14ac:dyDescent="0.2">
      <c r="B29" s="76" t="s">
        <v>584</v>
      </c>
      <c r="C29" s="96"/>
      <c r="D29" s="236">
        <v>1</v>
      </c>
      <c r="E29" s="236">
        <v>2</v>
      </c>
      <c r="F29" s="516">
        <f t="shared" si="3"/>
        <v>2</v>
      </c>
      <c r="G29" s="236">
        <v>615</v>
      </c>
      <c r="H29" s="85">
        <f t="shared" si="4"/>
        <v>1230</v>
      </c>
    </row>
    <row r="30" spans="2:8" x14ac:dyDescent="0.2">
      <c r="B30" s="76" t="s">
        <v>246</v>
      </c>
      <c r="C30" s="96"/>
      <c r="D30" s="236">
        <v>1</v>
      </c>
      <c r="E30" s="236">
        <v>9</v>
      </c>
      <c r="F30" s="516">
        <f t="shared" si="2"/>
        <v>9</v>
      </c>
      <c r="G30" s="236">
        <v>770</v>
      </c>
      <c r="H30" s="85">
        <f t="shared" si="1"/>
        <v>6930</v>
      </c>
    </row>
    <row r="31" spans="2:8" x14ac:dyDescent="0.2">
      <c r="B31" s="76" t="s">
        <v>581</v>
      </c>
      <c r="C31" s="96"/>
      <c r="D31" s="236">
        <v>1</v>
      </c>
      <c r="E31" s="236">
        <v>19</v>
      </c>
      <c r="F31" s="516">
        <f t="shared" si="2"/>
        <v>19</v>
      </c>
      <c r="G31" s="236">
        <v>725</v>
      </c>
      <c r="H31" s="85">
        <f t="shared" si="1"/>
        <v>13775</v>
      </c>
    </row>
    <row r="32" spans="2:8" x14ac:dyDescent="0.2">
      <c r="B32" s="76" t="s">
        <v>580</v>
      </c>
      <c r="C32" s="96"/>
      <c r="D32" s="236">
        <v>5</v>
      </c>
      <c r="E32" s="236">
        <v>1</v>
      </c>
      <c r="F32" s="516">
        <f t="shared" si="2"/>
        <v>5</v>
      </c>
      <c r="G32" s="236">
        <v>750</v>
      </c>
      <c r="H32" s="85">
        <f t="shared" si="1"/>
        <v>3750</v>
      </c>
    </row>
    <row r="33" spans="2:11" x14ac:dyDescent="0.2">
      <c r="B33" s="76" t="s">
        <v>586</v>
      </c>
      <c r="C33" s="96"/>
      <c r="D33" s="236">
        <v>1</v>
      </c>
      <c r="E33" s="236">
        <v>4</v>
      </c>
      <c r="F33" s="516">
        <f t="shared" si="2"/>
        <v>4</v>
      </c>
      <c r="G33" s="236">
        <v>1030</v>
      </c>
      <c r="H33" s="85">
        <f t="shared" si="1"/>
        <v>4120</v>
      </c>
    </row>
    <row r="34" spans="2:11" x14ac:dyDescent="0.2">
      <c r="B34" s="76" t="s">
        <v>129</v>
      </c>
      <c r="C34" s="96"/>
      <c r="D34" s="236">
        <v>1</v>
      </c>
      <c r="E34" s="236">
        <v>22</v>
      </c>
      <c r="F34" s="516">
        <f t="shared" si="2"/>
        <v>22</v>
      </c>
      <c r="G34" s="211">
        <f>Abmessungen!B21+Abmessungen!B43+(Abmessungen!B79/2)</f>
        <v>784.5</v>
      </c>
      <c r="H34" s="85">
        <f t="shared" si="1"/>
        <v>17259</v>
      </c>
    </row>
    <row r="35" spans="2:11" x14ac:dyDescent="0.2">
      <c r="B35" s="82"/>
      <c r="C35" s="96"/>
      <c r="D35" s="76"/>
      <c r="E35" s="76"/>
      <c r="F35" s="84"/>
      <c r="G35" s="76"/>
      <c r="H35" s="38"/>
    </row>
    <row r="36" spans="2:11" x14ac:dyDescent="0.2">
      <c r="B36" s="79" t="s">
        <v>26</v>
      </c>
      <c r="C36" s="98"/>
      <c r="D36" s="77"/>
      <c r="E36" s="76"/>
      <c r="F36" s="532">
        <f>SUM(F14:F34)</f>
        <v>298</v>
      </c>
      <c r="G36" s="528">
        <f>H36/F36</f>
        <v>478.11409395973152</v>
      </c>
      <c r="H36" s="85">
        <f>SUM(H14:H34)</f>
        <v>142478</v>
      </c>
    </row>
    <row r="37" spans="2:11" x14ac:dyDescent="0.2">
      <c r="B37" s="72" t="s">
        <v>31</v>
      </c>
      <c r="C37" s="96"/>
      <c r="D37" s="76"/>
      <c r="E37" s="76"/>
      <c r="F37" s="236">
        <v>-6</v>
      </c>
      <c r="G37" s="236">
        <v>500</v>
      </c>
      <c r="H37" s="85">
        <f>F37*G37</f>
        <v>-3000</v>
      </c>
    </row>
    <row r="38" spans="2:11" x14ac:dyDescent="0.2">
      <c r="B38" s="82"/>
      <c r="C38" s="96"/>
      <c r="D38" s="76"/>
      <c r="E38" s="76"/>
      <c r="F38" s="92"/>
      <c r="G38" s="92"/>
      <c r="H38" s="85"/>
    </row>
    <row r="39" spans="2:11" x14ac:dyDescent="0.2">
      <c r="B39" s="79" t="s">
        <v>42</v>
      </c>
      <c r="C39" s="98"/>
      <c r="D39" s="76"/>
      <c r="E39" s="76"/>
      <c r="F39" s="532">
        <f>F36+F37</f>
        <v>292</v>
      </c>
      <c r="G39" s="528">
        <f>H39/F39</f>
        <v>477.66438356164383</v>
      </c>
      <c r="H39" s="71">
        <f>H36+H37</f>
        <v>139478</v>
      </c>
      <c r="J39" s="2"/>
    </row>
    <row r="40" spans="2:11" x14ac:dyDescent="0.2">
      <c r="B40" s="79"/>
      <c r="C40" s="98"/>
      <c r="D40" s="38"/>
      <c r="E40" s="76"/>
      <c r="F40" s="120"/>
      <c r="G40" s="120"/>
      <c r="H40" s="71"/>
    </row>
    <row r="41" spans="2:11" x14ac:dyDescent="0.2">
      <c r="B41" s="164"/>
      <c r="C41" s="165"/>
      <c r="D41" s="38"/>
      <c r="E41" s="76"/>
      <c r="F41" s="120"/>
      <c r="G41" s="120"/>
      <c r="H41" s="71"/>
    </row>
    <row r="42" spans="2:11" x14ac:dyDescent="0.2">
      <c r="B42" s="82"/>
      <c r="C42" s="96"/>
      <c r="D42" s="38"/>
      <c r="E42" s="38"/>
      <c r="F42" s="77"/>
      <c r="G42" s="38"/>
      <c r="H42" s="77"/>
    </row>
    <row r="43" spans="2:11" x14ac:dyDescent="0.2">
      <c r="B43" s="79" t="s">
        <v>27</v>
      </c>
      <c r="C43" s="98"/>
      <c r="D43" s="81" t="s">
        <v>4</v>
      </c>
      <c r="E43" s="81" t="s">
        <v>3</v>
      </c>
      <c r="F43" s="79" t="s">
        <v>0</v>
      </c>
      <c r="G43" s="80" t="s">
        <v>33</v>
      </c>
      <c r="H43" s="81" t="s">
        <v>2</v>
      </c>
    </row>
    <row r="44" spans="2:11" x14ac:dyDescent="0.2">
      <c r="B44" s="79"/>
      <c r="C44" s="98"/>
      <c r="D44" s="81"/>
      <c r="E44" s="81"/>
      <c r="F44" s="79"/>
      <c r="G44" s="80"/>
      <c r="H44" s="81"/>
      <c r="K44" s="1"/>
    </row>
    <row r="45" spans="2:11" x14ac:dyDescent="0.2">
      <c r="B45" s="38"/>
      <c r="C45" s="96"/>
      <c r="D45" s="527">
        <f>C9-3</f>
        <v>33.388800000000003</v>
      </c>
      <c r="E45" s="104"/>
      <c r="F45" s="256"/>
      <c r="G45" s="92"/>
      <c r="H45" s="85"/>
    </row>
    <row r="46" spans="2:11" x14ac:dyDescent="0.2">
      <c r="B46" s="38" t="str">
        <f>Gewichte!B106</f>
        <v>Grundierung Spannlack, verdünnt, 2 x</v>
      </c>
      <c r="C46" s="96"/>
      <c r="D46" s="256"/>
      <c r="E46" s="543">
        <f>Gewichte!C105</f>
        <v>0.1</v>
      </c>
      <c r="F46" s="516">
        <f>D45*E46</f>
        <v>3.3388800000000005</v>
      </c>
      <c r="G46" s="236">
        <v>480</v>
      </c>
      <c r="H46" s="85">
        <f>F46*G46</f>
        <v>1602.6624000000002</v>
      </c>
    </row>
    <row r="47" spans="2:11" x14ac:dyDescent="0.2">
      <c r="B47" s="76" t="str">
        <f>Gewichte!B119</f>
        <v>Silkspan light BH-916 (2015) plus 4 Anstr. Spl.</v>
      </c>
      <c r="C47" s="96"/>
      <c r="D47" s="256"/>
      <c r="E47" s="543">
        <f>Gewichte!C118</f>
        <v>0.4</v>
      </c>
      <c r="F47" s="516">
        <f>D45*E47</f>
        <v>13.355520000000002</v>
      </c>
      <c r="G47" s="236">
        <v>480</v>
      </c>
      <c r="H47" s="85">
        <f>F47*G47</f>
        <v>6410.6496000000006</v>
      </c>
    </row>
    <row r="48" spans="2:11" x14ac:dyDescent="0.2">
      <c r="B48" s="38" t="str">
        <f>Gewichte!B127</f>
        <v>Basislacke und 2 k-Klarlack</v>
      </c>
      <c r="C48" s="96"/>
      <c r="D48" s="256"/>
      <c r="E48" s="543">
        <f>Gewichte!C126</f>
        <v>0.89999999999999991</v>
      </c>
      <c r="F48" s="516">
        <f>D45*E48</f>
        <v>30.04992</v>
      </c>
      <c r="G48" s="236">
        <v>480</v>
      </c>
      <c r="H48" s="85">
        <f>F48*G48</f>
        <v>14423.961600000001</v>
      </c>
    </row>
    <row r="49" spans="2:9" x14ac:dyDescent="0.2">
      <c r="B49" s="38"/>
      <c r="C49" s="96"/>
      <c r="D49" s="256"/>
      <c r="E49" s="258"/>
      <c r="F49" s="256"/>
      <c r="G49" s="104"/>
      <c r="H49" s="85"/>
    </row>
    <row r="50" spans="2:9" x14ac:dyDescent="0.2">
      <c r="B50" s="79" t="s">
        <v>153</v>
      </c>
      <c r="C50" s="96"/>
      <c r="D50" s="76"/>
      <c r="E50" s="76"/>
      <c r="F50" s="527">
        <f>F46+F47+F48</f>
        <v>46.744320000000002</v>
      </c>
      <c r="G50" s="518">
        <f>H50/F50</f>
        <v>480</v>
      </c>
      <c r="H50" s="85">
        <f>SUM(H46:H48)</f>
        <v>22437.2736</v>
      </c>
      <c r="I50" s="2"/>
    </row>
    <row r="51" spans="2:9" x14ac:dyDescent="0.2">
      <c r="B51" s="82"/>
      <c r="C51" s="96"/>
      <c r="D51" s="42"/>
      <c r="E51" s="42"/>
      <c r="F51" s="42"/>
      <c r="G51" s="38"/>
      <c r="H51" s="88"/>
      <c r="I51" s="2"/>
    </row>
    <row r="52" spans="2:9" x14ac:dyDescent="0.2">
      <c r="B52" s="72" t="s">
        <v>212</v>
      </c>
      <c r="C52" s="96"/>
      <c r="D52" s="42"/>
      <c r="E52" s="42"/>
      <c r="F52" s="42"/>
      <c r="G52" s="3"/>
      <c r="H52" s="85">
        <f>H39+H50</f>
        <v>161915.27360000001</v>
      </c>
      <c r="I52" s="2"/>
    </row>
    <row r="53" spans="2:9" x14ac:dyDescent="0.2">
      <c r="B53" s="72"/>
      <c r="C53" s="96"/>
      <c r="D53" s="42"/>
      <c r="E53" s="42"/>
      <c r="F53" s="42"/>
      <c r="G53" s="3"/>
      <c r="H53" s="185"/>
      <c r="I53" s="2"/>
    </row>
    <row r="54" spans="2:9" x14ac:dyDescent="0.2">
      <c r="B54" s="79" t="s">
        <v>48</v>
      </c>
      <c r="C54" s="98"/>
      <c r="D54" s="43"/>
      <c r="E54" s="42"/>
      <c r="F54" s="532">
        <f>F39+F50</f>
        <v>338.74432000000002</v>
      </c>
      <c r="G54" s="532"/>
      <c r="H54" s="88"/>
      <c r="I54" s="2"/>
    </row>
    <row r="55" spans="2:9" x14ac:dyDescent="0.2">
      <c r="B55" s="136" t="s">
        <v>196</v>
      </c>
      <c r="C55" s="96"/>
      <c r="D55" s="38"/>
      <c r="E55" s="90"/>
      <c r="F55" s="76"/>
      <c r="G55" s="518">
        <f>H52/F54</f>
        <v>477.98668210879521</v>
      </c>
      <c r="H55" s="34"/>
      <c r="I55" s="2"/>
    </row>
    <row r="56" spans="2:9" x14ac:dyDescent="0.2">
      <c r="B56" s="82"/>
      <c r="C56" s="96"/>
      <c r="D56" s="38"/>
      <c r="E56" s="38"/>
      <c r="F56" s="38"/>
      <c r="H56" s="88"/>
      <c r="I56" s="2"/>
    </row>
    <row r="57" spans="2:9" x14ac:dyDescent="0.2">
      <c r="B57" s="20"/>
      <c r="C57" s="36"/>
      <c r="G57" s="38"/>
      <c r="H57" s="88"/>
      <c r="I57" s="2"/>
    </row>
    <row r="58" spans="2:9" ht="15.75" x14ac:dyDescent="0.25">
      <c r="B58" s="69" t="s">
        <v>118</v>
      </c>
      <c r="C58" s="99"/>
      <c r="D58" s="38"/>
      <c r="E58" s="38"/>
      <c r="F58" s="38"/>
      <c r="G58" s="77"/>
      <c r="H58" s="88"/>
      <c r="I58" s="2"/>
    </row>
    <row r="59" spans="2:9" x14ac:dyDescent="0.2">
      <c r="B59" s="72" t="s">
        <v>590</v>
      </c>
      <c r="C59" s="193">
        <f>Abmessungen!B87</f>
        <v>2</v>
      </c>
      <c r="D59" s="38"/>
      <c r="E59" s="76"/>
      <c r="F59" s="77"/>
      <c r="G59" s="77"/>
      <c r="H59" s="88"/>
      <c r="I59" s="2"/>
    </row>
    <row r="60" spans="2:9" x14ac:dyDescent="0.2">
      <c r="B60" s="72" t="str">
        <f>Schwerpunktrechnung!B18</f>
        <v>Datum: Rückseite Spinner</v>
      </c>
      <c r="C60" s="97"/>
      <c r="D60" s="89"/>
      <c r="E60" s="76"/>
      <c r="F60" s="77"/>
      <c r="G60" s="77"/>
      <c r="H60" s="100" t="s">
        <v>2</v>
      </c>
      <c r="I60" s="2"/>
    </row>
    <row r="61" spans="2:9" x14ac:dyDescent="0.2">
      <c r="B61" s="79"/>
      <c r="C61" s="98"/>
      <c r="D61" s="77"/>
      <c r="E61" s="77"/>
      <c r="F61" s="77"/>
      <c r="G61" s="80" t="s">
        <v>33</v>
      </c>
      <c r="H61" s="88"/>
      <c r="I61" s="2"/>
    </row>
    <row r="62" spans="2:9" ht="38.25" x14ac:dyDescent="0.2">
      <c r="B62" s="82"/>
      <c r="C62" s="96"/>
      <c r="D62" s="79" t="s">
        <v>37</v>
      </c>
      <c r="E62" s="79" t="s">
        <v>30</v>
      </c>
      <c r="F62" s="79" t="s">
        <v>0</v>
      </c>
      <c r="G62" s="38"/>
      <c r="H62" s="85"/>
      <c r="I62" s="2"/>
    </row>
    <row r="63" spans="2:9" x14ac:dyDescent="0.2">
      <c r="B63" s="82"/>
      <c r="C63" s="96"/>
      <c r="D63" s="38"/>
      <c r="E63" s="38"/>
      <c r="F63" s="38"/>
      <c r="G63" s="213"/>
      <c r="H63" s="88"/>
      <c r="I63" s="2"/>
    </row>
    <row r="64" spans="2:9" x14ac:dyDescent="0.2">
      <c r="B64" s="79" t="s">
        <v>26</v>
      </c>
      <c r="C64" s="98"/>
      <c r="D64" s="235">
        <v>2</v>
      </c>
      <c r="E64" s="236">
        <v>7</v>
      </c>
      <c r="F64" s="527">
        <f>D64*E64</f>
        <v>14</v>
      </c>
      <c r="G64" s="236">
        <v>1060</v>
      </c>
      <c r="H64" s="85">
        <f>F64*G64</f>
        <v>14840</v>
      </c>
    </row>
    <row r="65" spans="2:10" x14ac:dyDescent="0.2">
      <c r="B65" s="72" t="s">
        <v>31</v>
      </c>
      <c r="C65" s="561"/>
      <c r="D65" s="76"/>
      <c r="E65" s="76"/>
      <c r="F65" s="236">
        <v>-2</v>
      </c>
      <c r="G65" s="235">
        <f>G64</f>
        <v>1060</v>
      </c>
      <c r="H65" s="85">
        <f>F65*G64</f>
        <v>-2120</v>
      </c>
    </row>
    <row r="66" spans="2:10" x14ac:dyDescent="0.2">
      <c r="B66" s="72"/>
      <c r="C66" s="561"/>
      <c r="D66" s="76"/>
      <c r="E66" s="76"/>
      <c r="F66" s="92"/>
      <c r="G66" s="86"/>
    </row>
    <row r="67" spans="2:10" x14ac:dyDescent="0.2">
      <c r="B67" s="79" t="s">
        <v>42</v>
      </c>
      <c r="C67" s="561"/>
      <c r="D67" s="76"/>
      <c r="E67" s="76"/>
      <c r="F67" s="527">
        <f>F64+F65</f>
        <v>12</v>
      </c>
      <c r="G67" s="2"/>
      <c r="H67" s="85"/>
      <c r="J67" s="2"/>
    </row>
    <row r="68" spans="2:10" x14ac:dyDescent="0.2">
      <c r="B68" s="2"/>
      <c r="C68" s="2"/>
      <c r="D68" s="2"/>
      <c r="E68" s="2"/>
      <c r="F68" s="2"/>
      <c r="G68" s="92"/>
      <c r="H68" s="85"/>
    </row>
    <row r="69" spans="2:10" x14ac:dyDescent="0.2">
      <c r="B69" s="79" t="str">
        <f>B43</f>
        <v>Bespannung &amp; Lackierung</v>
      </c>
      <c r="C69" s="561"/>
      <c r="D69" s="167" t="s">
        <v>4</v>
      </c>
      <c r="E69" s="76"/>
      <c r="F69" s="92"/>
      <c r="G69" s="92"/>
      <c r="H69" s="85"/>
    </row>
    <row r="70" spans="2:10" x14ac:dyDescent="0.2">
      <c r="B70" s="72" t="str">
        <f>Gewichte!B106</f>
        <v>Grundierung Spannlack, verdünnt, 2 x</v>
      </c>
      <c r="C70" s="561"/>
      <c r="D70" s="562">
        <f>C59*2</f>
        <v>4</v>
      </c>
      <c r="E70" s="563">
        <f>Gewichte!C105</f>
        <v>0.1</v>
      </c>
      <c r="F70" s="564">
        <f>D70*E70</f>
        <v>0.4</v>
      </c>
      <c r="G70" s="238">
        <f>G64</f>
        <v>1060</v>
      </c>
      <c r="H70" s="85">
        <f>F70*G70</f>
        <v>424</v>
      </c>
    </row>
    <row r="71" spans="2:10" x14ac:dyDescent="0.2">
      <c r="B71" s="72" t="str">
        <f>Gewichte!B119</f>
        <v>Silkspan light BH-916 (2015) plus 4 Anstr. Spl.</v>
      </c>
      <c r="C71" s="561"/>
      <c r="D71" s="562">
        <f>C59*2</f>
        <v>4</v>
      </c>
      <c r="E71" s="563">
        <f>Gewichte!C118</f>
        <v>0.4</v>
      </c>
      <c r="F71" s="564">
        <f>D71*E71</f>
        <v>1.6</v>
      </c>
      <c r="G71" s="236">
        <f>G64</f>
        <v>1060</v>
      </c>
      <c r="H71" s="185">
        <f>F71*G71</f>
        <v>1696</v>
      </c>
    </row>
    <row r="72" spans="2:10" x14ac:dyDescent="0.2">
      <c r="B72" s="76" t="str">
        <f>Gewichte!B127</f>
        <v>Basislacke und 2 k-Klarlack</v>
      </c>
      <c r="C72" s="565"/>
      <c r="D72" s="516">
        <f>C59*2</f>
        <v>4</v>
      </c>
      <c r="E72" s="543">
        <f>Gewichte!C126</f>
        <v>0.89999999999999991</v>
      </c>
      <c r="F72" s="516">
        <f>D72*E72</f>
        <v>3.5999999999999996</v>
      </c>
      <c r="G72" s="235">
        <f>G64</f>
        <v>1060</v>
      </c>
      <c r="H72" s="85">
        <f>F72*G72</f>
        <v>3815.9999999999995</v>
      </c>
    </row>
    <row r="73" spans="2:10" x14ac:dyDescent="0.2">
      <c r="B73" s="76"/>
      <c r="C73" s="561"/>
      <c r="D73" s="256"/>
      <c r="E73" s="258"/>
      <c r="F73" s="256"/>
      <c r="G73" s="92"/>
      <c r="H73" s="38"/>
    </row>
    <row r="74" spans="2:10" x14ac:dyDescent="0.2">
      <c r="B74" s="77" t="s">
        <v>153</v>
      </c>
      <c r="C74" s="561"/>
      <c r="D74" s="256"/>
      <c r="E74" s="104"/>
      <c r="F74" s="527">
        <f>F70+F71+F72</f>
        <v>5.6</v>
      </c>
      <c r="G74" s="76"/>
      <c r="H74" s="38"/>
    </row>
    <row r="75" spans="2:10" x14ac:dyDescent="0.2">
      <c r="B75" s="79"/>
      <c r="C75" s="98"/>
      <c r="D75" s="76"/>
      <c r="E75" s="76"/>
      <c r="F75" s="91"/>
      <c r="G75" s="77"/>
      <c r="H75" s="85"/>
    </row>
    <row r="76" spans="2:10" x14ac:dyDescent="0.2">
      <c r="B76" s="79" t="s">
        <v>50</v>
      </c>
      <c r="C76" s="98"/>
      <c r="D76" s="76"/>
      <c r="E76" s="76"/>
      <c r="F76" s="527">
        <f>F67+F74</f>
        <v>17.600000000000001</v>
      </c>
      <c r="G76" s="86"/>
      <c r="H76" s="85">
        <f>SUM(H64:H72)</f>
        <v>18656</v>
      </c>
    </row>
    <row r="77" spans="2:10" x14ac:dyDescent="0.2">
      <c r="B77" s="72" t="s">
        <v>196</v>
      </c>
      <c r="C77" s="561"/>
      <c r="D77" s="76"/>
      <c r="E77" s="76"/>
      <c r="F77" s="77"/>
      <c r="G77" s="532">
        <f>H76/F76</f>
        <v>1060</v>
      </c>
      <c r="H77" s="85"/>
    </row>
    <row r="78" spans="2:10" x14ac:dyDescent="0.2">
      <c r="B78" s="2"/>
      <c r="C78" s="561"/>
      <c r="D78" s="76"/>
      <c r="E78" s="76"/>
      <c r="F78" s="76"/>
      <c r="G78" s="2"/>
    </row>
    <row r="79" spans="2:10" x14ac:dyDescent="0.2">
      <c r="B79" s="72" t="s">
        <v>211</v>
      </c>
      <c r="C79" s="561"/>
      <c r="D79" s="76"/>
      <c r="E79" s="76"/>
      <c r="F79" s="76"/>
      <c r="G79" s="518">
        <f>H52+H76</f>
        <v>180571.27360000001</v>
      </c>
      <c r="H79" s="7"/>
    </row>
    <row r="80" spans="2:10" x14ac:dyDescent="0.2">
      <c r="B80" s="226"/>
      <c r="C80" s="566"/>
      <c r="D80" s="406"/>
      <c r="E80" s="406"/>
      <c r="F80" s="406"/>
      <c r="G80" s="555"/>
      <c r="H80" s="7"/>
    </row>
    <row r="81" spans="2:8" ht="13.5" thickBot="1" x14ac:dyDescent="0.25">
      <c r="B81" s="163"/>
      <c r="C81" s="567"/>
      <c r="D81" s="2"/>
      <c r="E81" s="2"/>
      <c r="F81" s="2"/>
      <c r="G81" s="555"/>
      <c r="H81" s="7"/>
    </row>
    <row r="82" spans="2:8" ht="15.75" x14ac:dyDescent="0.25">
      <c r="B82" s="73" t="s">
        <v>51</v>
      </c>
      <c r="C82" s="568"/>
      <c r="D82" s="530"/>
      <c r="E82" s="530"/>
      <c r="F82" s="530"/>
      <c r="G82" s="533"/>
    </row>
    <row r="83" spans="2:8" x14ac:dyDescent="0.2">
      <c r="B83" s="74" t="s">
        <v>0</v>
      </c>
      <c r="C83" s="98"/>
      <c r="D83" s="76"/>
      <c r="E83" s="76"/>
      <c r="F83" s="532">
        <f>F54+F76</f>
        <v>356.34432000000004</v>
      </c>
      <c r="G83" s="533"/>
    </row>
    <row r="84" spans="2:8" x14ac:dyDescent="0.2">
      <c r="B84" s="74" t="s">
        <v>47</v>
      </c>
      <c r="C84" s="569">
        <f>Abmessungen!B82+Abmessungen!B87</f>
        <v>13.97</v>
      </c>
      <c r="D84" s="76"/>
      <c r="E84" s="76"/>
      <c r="F84" s="535"/>
      <c r="G84" s="533"/>
    </row>
    <row r="85" spans="2:8" x14ac:dyDescent="0.2">
      <c r="B85" s="74" t="s">
        <v>40</v>
      </c>
      <c r="C85" s="570">
        <f>(C84/6.452)*100</f>
        <v>216.52200867947923</v>
      </c>
      <c r="D85" s="76"/>
      <c r="E85" s="76"/>
      <c r="F85" s="535"/>
      <c r="G85" s="533"/>
      <c r="H85" s="7"/>
    </row>
    <row r="86" spans="2:8" ht="13.5" thickBot="1" x14ac:dyDescent="0.25">
      <c r="B86" s="74" t="s">
        <v>41</v>
      </c>
      <c r="C86" s="570">
        <f>F83/C84</f>
        <v>25.507825340014318</v>
      </c>
      <c r="D86" s="76"/>
      <c r="E86" s="76"/>
      <c r="F86" s="535"/>
      <c r="G86" s="538">
        <f>(H53+H76)/F83</f>
        <v>52.353858200966968</v>
      </c>
    </row>
    <row r="87" spans="2:8" ht="13.5" thickBot="1" x14ac:dyDescent="0.25">
      <c r="B87" s="560" t="s">
        <v>198</v>
      </c>
      <c r="C87" s="571"/>
      <c r="D87" s="537"/>
      <c r="E87" s="537"/>
      <c r="F87" s="572">
        <f>G79/F83</f>
        <v>506.73257146346543</v>
      </c>
      <c r="G87" s="2"/>
    </row>
    <row r="88" spans="2:8" x14ac:dyDescent="0.2">
      <c r="B88" s="2"/>
      <c r="C88" s="31"/>
      <c r="D88" s="2"/>
      <c r="E88" s="2"/>
      <c r="F88" s="2"/>
      <c r="G88" s="2"/>
      <c r="H88" s="15"/>
    </row>
    <row r="100" spans="8:8" x14ac:dyDescent="0.2">
      <c r="H100" s="15"/>
    </row>
    <row r="108" spans="8:8" x14ac:dyDescent="0.2">
      <c r="H108" s="32"/>
    </row>
    <row r="109" spans="8:8" x14ac:dyDescent="0.2">
      <c r="H109" s="35"/>
    </row>
    <row r="110" spans="8:8" x14ac:dyDescent="0.2">
      <c r="H110" s="32"/>
    </row>
    <row r="111" spans="8:8" x14ac:dyDescent="0.2">
      <c r="H111" s="32"/>
    </row>
    <row r="112" spans="8:8" x14ac:dyDescent="0.2">
      <c r="H112" s="32"/>
    </row>
    <row r="113" spans="8:8" x14ac:dyDescent="0.2">
      <c r="H113" s="32"/>
    </row>
    <row r="114" spans="8:8" x14ac:dyDescent="0.2">
      <c r="H114" s="32"/>
    </row>
    <row r="115" spans="8:8" x14ac:dyDescent="0.2">
      <c r="H115" s="32"/>
    </row>
  </sheetData>
  <mergeCells count="1">
    <mergeCell ref="C8:G8"/>
  </mergeCells>
  <phoneticPr fontId="1" type="noConversion"/>
  <pageMargins left="0.39370078740157483" right="0" top="0.39370078740157483" bottom="0.39370078740157483" header="0" footer="0.11811023622047245"/>
  <pageSetup paperSize="9" scale="6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1"/>
  <sheetViews>
    <sheetView topLeftCell="A16" zoomScale="110" zoomScaleNormal="110" workbookViewId="0">
      <selection activeCell="G43" sqref="G43"/>
    </sheetView>
  </sheetViews>
  <sheetFormatPr baseColWidth="10" defaultRowHeight="12.75" x14ac:dyDescent="0.2"/>
  <cols>
    <col min="1" max="1" width="4" customWidth="1"/>
    <col min="2" max="2" width="41" customWidth="1"/>
    <col min="3" max="3" width="12.42578125" customWidth="1"/>
    <col min="4" max="4" width="8" customWidth="1"/>
    <col min="5" max="5" width="8.85546875" customWidth="1"/>
    <col min="6" max="6" width="11.28515625" customWidth="1"/>
    <col min="9" max="9" width="35.28515625" customWidth="1"/>
  </cols>
  <sheetData>
    <row r="2" spans="2:8" x14ac:dyDescent="0.2">
      <c r="B2" s="39" t="s">
        <v>75</v>
      </c>
      <c r="C2" s="62" t="s">
        <v>86</v>
      </c>
      <c r="F2" s="37"/>
    </row>
    <row r="3" spans="2:8" x14ac:dyDescent="0.2">
      <c r="B3" s="39" t="s">
        <v>95</v>
      </c>
      <c r="C3" s="64"/>
    </row>
    <row r="4" spans="2:8" x14ac:dyDescent="0.2">
      <c r="B4" s="38" t="s">
        <v>80</v>
      </c>
      <c r="C4" s="189"/>
    </row>
    <row r="5" spans="2:8" x14ac:dyDescent="0.2">
      <c r="B5" s="39" t="s">
        <v>90</v>
      </c>
      <c r="C5" s="116"/>
    </row>
    <row r="6" spans="2:8" x14ac:dyDescent="0.2">
      <c r="B6" s="89" t="s">
        <v>96</v>
      </c>
      <c r="C6" s="188"/>
    </row>
    <row r="7" spans="2:8" x14ac:dyDescent="0.2">
      <c r="B7" s="121"/>
      <c r="C7" s="102"/>
    </row>
    <row r="8" spans="2:8" ht="13.5" thickBot="1" x14ac:dyDescent="0.25">
      <c r="B8" s="121"/>
      <c r="C8" s="102"/>
    </row>
    <row r="9" spans="2:8" ht="28.5" customHeight="1" thickBot="1" x14ac:dyDescent="0.3">
      <c r="B9" s="75" t="s">
        <v>14</v>
      </c>
      <c r="C9" s="606" t="str">
        <f>Schwerpunktrechnung!B2</f>
        <v>Fiat C. 29</v>
      </c>
      <c r="D9" s="612"/>
      <c r="E9" s="612"/>
      <c r="F9" s="612"/>
      <c r="G9" s="613"/>
      <c r="H9" s="142"/>
    </row>
    <row r="10" spans="2:8" x14ac:dyDescent="0.2">
      <c r="B10" s="76" t="s">
        <v>175</v>
      </c>
      <c r="C10" s="549">
        <f>Abmessungen!B18</f>
        <v>13.5465</v>
      </c>
      <c r="D10" s="38"/>
      <c r="E10" s="77"/>
      <c r="F10" s="77"/>
      <c r="G10" s="143">
        <f>Schwerpunktrechnung!E2</f>
        <v>44096</v>
      </c>
      <c r="H10" s="123"/>
    </row>
    <row r="11" spans="2:8" x14ac:dyDescent="0.2">
      <c r="B11" s="76" t="s">
        <v>571</v>
      </c>
      <c r="C11" s="89"/>
      <c r="D11" s="38"/>
      <c r="E11" s="77"/>
      <c r="F11" s="77"/>
      <c r="G11" s="78"/>
      <c r="H11" s="38"/>
    </row>
    <row r="12" spans="2:8" x14ac:dyDescent="0.2">
      <c r="B12" s="76"/>
      <c r="C12" s="76"/>
      <c r="D12" s="77"/>
      <c r="E12" s="77"/>
      <c r="F12" s="77"/>
      <c r="G12" s="78"/>
      <c r="H12" s="38"/>
    </row>
    <row r="13" spans="2:8" ht="38.25" x14ac:dyDescent="0.2">
      <c r="B13" s="76"/>
      <c r="C13" s="76"/>
      <c r="D13" s="79" t="s">
        <v>32</v>
      </c>
      <c r="E13" s="79" t="s">
        <v>30</v>
      </c>
      <c r="F13" s="79" t="s">
        <v>0</v>
      </c>
      <c r="G13" s="80" t="s">
        <v>33</v>
      </c>
      <c r="H13" s="81" t="s">
        <v>2</v>
      </c>
    </row>
    <row r="14" spans="2:8" x14ac:dyDescent="0.2">
      <c r="B14" s="77"/>
      <c r="C14" s="77"/>
      <c r="D14" s="77"/>
      <c r="E14" s="77"/>
      <c r="F14" s="77"/>
      <c r="G14" s="78"/>
      <c r="H14" s="38"/>
    </row>
    <row r="15" spans="2:8" x14ac:dyDescent="0.2">
      <c r="B15" s="72" t="s">
        <v>554</v>
      </c>
      <c r="C15" s="72"/>
      <c r="D15" s="179">
        <v>22</v>
      </c>
      <c r="E15" s="155">
        <v>0.15</v>
      </c>
      <c r="F15" s="516">
        <f t="shared" ref="F15:F27" si="0">D15*E15</f>
        <v>3.3</v>
      </c>
      <c r="G15" s="179">
        <v>75</v>
      </c>
      <c r="H15" s="200">
        <f t="shared" ref="H15:H23" si="1">F15*G15</f>
        <v>247.5</v>
      </c>
    </row>
    <row r="16" spans="2:8" x14ac:dyDescent="0.2">
      <c r="B16" s="72" t="s">
        <v>556</v>
      </c>
      <c r="C16" s="72"/>
      <c r="D16" s="179">
        <v>3</v>
      </c>
      <c r="E16" s="235">
        <v>1.5</v>
      </c>
      <c r="F16" s="516">
        <f>D16*E16</f>
        <v>4.5</v>
      </c>
      <c r="G16" s="179">
        <v>90</v>
      </c>
      <c r="H16" s="200">
        <f t="shared" si="1"/>
        <v>405</v>
      </c>
    </row>
    <row r="17" spans="2:8" x14ac:dyDescent="0.2">
      <c r="B17" s="72" t="s">
        <v>557</v>
      </c>
      <c r="C17" s="72"/>
      <c r="D17" s="179">
        <v>5.6</v>
      </c>
      <c r="E17" s="235">
        <v>1.5</v>
      </c>
      <c r="F17" s="516">
        <f>D17*E17</f>
        <v>8.3999999999999986</v>
      </c>
      <c r="G17" s="179">
        <v>110</v>
      </c>
      <c r="H17" s="200">
        <f>F17*G17</f>
        <v>923.99999999999989</v>
      </c>
    </row>
    <row r="18" spans="2:8" x14ac:dyDescent="0.2">
      <c r="B18" s="72" t="s">
        <v>561</v>
      </c>
      <c r="C18" s="72"/>
      <c r="D18" s="179">
        <v>4</v>
      </c>
      <c r="E18" s="235">
        <v>1.5</v>
      </c>
      <c r="F18" s="516">
        <f>D18*E18</f>
        <v>6</v>
      </c>
      <c r="G18" s="179">
        <v>40</v>
      </c>
      <c r="H18" s="200">
        <f>F18*G18</f>
        <v>240</v>
      </c>
    </row>
    <row r="19" spans="2:8" x14ac:dyDescent="0.2">
      <c r="B19" s="72" t="s">
        <v>553</v>
      </c>
      <c r="C19" s="72"/>
      <c r="D19" s="179">
        <v>24</v>
      </c>
      <c r="E19" s="550">
        <v>0.1</v>
      </c>
      <c r="F19" s="516">
        <f>D19*E19</f>
        <v>2.4000000000000004</v>
      </c>
      <c r="G19" s="179">
        <v>90</v>
      </c>
      <c r="H19" s="200">
        <f>F19*G19</f>
        <v>216.00000000000003</v>
      </c>
    </row>
    <row r="20" spans="2:8" ht="14.25" customHeight="1" x14ac:dyDescent="0.2">
      <c r="B20" s="72" t="s">
        <v>562</v>
      </c>
      <c r="C20" s="72"/>
      <c r="D20" s="179">
        <v>1</v>
      </c>
      <c r="E20" s="155">
        <v>5</v>
      </c>
      <c r="F20" s="516">
        <f t="shared" si="0"/>
        <v>5</v>
      </c>
      <c r="G20" s="518">
        <f>Abmessungen!B63-4</f>
        <v>126</v>
      </c>
      <c r="H20" s="200">
        <f t="shared" si="1"/>
        <v>630</v>
      </c>
    </row>
    <row r="21" spans="2:8" x14ac:dyDescent="0.2">
      <c r="B21" s="72" t="s">
        <v>552</v>
      </c>
      <c r="C21" s="72"/>
      <c r="D21" s="179">
        <v>2</v>
      </c>
      <c r="E21" s="155">
        <v>3.5</v>
      </c>
      <c r="F21" s="516">
        <f>D21*E21</f>
        <v>7</v>
      </c>
      <c r="G21" s="518">
        <f>G20-40</f>
        <v>86</v>
      </c>
      <c r="H21" s="200">
        <f t="shared" si="1"/>
        <v>602</v>
      </c>
    </row>
    <row r="22" spans="2:8" x14ac:dyDescent="0.2">
      <c r="B22" s="72" t="s">
        <v>569</v>
      </c>
      <c r="C22" s="72"/>
      <c r="D22" s="179">
        <v>2</v>
      </c>
      <c r="E22" s="155">
        <v>3</v>
      </c>
      <c r="F22" s="516">
        <f t="shared" si="0"/>
        <v>6</v>
      </c>
      <c r="G22" s="518">
        <f>G20+5</f>
        <v>131</v>
      </c>
      <c r="H22" s="200">
        <f t="shared" si="1"/>
        <v>786</v>
      </c>
    </row>
    <row r="23" spans="2:8" x14ac:dyDescent="0.2">
      <c r="B23" s="72" t="s">
        <v>555</v>
      </c>
      <c r="C23" s="72"/>
      <c r="D23" s="179">
        <v>2</v>
      </c>
      <c r="E23" s="155">
        <v>6</v>
      </c>
      <c r="F23" s="516">
        <f t="shared" si="0"/>
        <v>12</v>
      </c>
      <c r="G23" s="179">
        <v>35</v>
      </c>
      <c r="H23" s="200">
        <f t="shared" si="1"/>
        <v>420</v>
      </c>
    </row>
    <row r="24" spans="2:8" x14ac:dyDescent="0.2">
      <c r="B24" s="72" t="s">
        <v>234</v>
      </c>
      <c r="C24" s="72"/>
      <c r="D24" s="179">
        <v>11</v>
      </c>
      <c r="E24" s="155">
        <v>1.6</v>
      </c>
      <c r="F24" s="516">
        <f t="shared" si="0"/>
        <v>17.600000000000001</v>
      </c>
      <c r="G24" s="179">
        <v>170</v>
      </c>
      <c r="H24" s="200">
        <f>G24</f>
        <v>170</v>
      </c>
    </row>
    <row r="25" spans="2:8" x14ac:dyDescent="0.2">
      <c r="B25" s="72" t="s">
        <v>572</v>
      </c>
      <c r="C25" s="72"/>
      <c r="D25" s="179">
        <v>2</v>
      </c>
      <c r="E25" s="155">
        <v>3</v>
      </c>
      <c r="F25" s="516">
        <f t="shared" si="0"/>
        <v>6</v>
      </c>
      <c r="G25" s="179">
        <v>190</v>
      </c>
      <c r="H25" s="200">
        <f>F25*G25</f>
        <v>1140</v>
      </c>
    </row>
    <row r="26" spans="2:8" x14ac:dyDescent="0.2">
      <c r="B26" s="72" t="s">
        <v>203</v>
      </c>
      <c r="C26" s="72"/>
      <c r="D26" s="179">
        <v>2</v>
      </c>
      <c r="E26" s="155">
        <v>2</v>
      </c>
      <c r="F26" s="516">
        <f t="shared" si="0"/>
        <v>4</v>
      </c>
      <c r="G26" s="518">
        <f>G20+10</f>
        <v>136</v>
      </c>
      <c r="H26" s="200">
        <f t="shared" ref="H26:H30" si="2">F26*G26</f>
        <v>544</v>
      </c>
    </row>
    <row r="27" spans="2:8" x14ac:dyDescent="0.2">
      <c r="B27" s="72" t="s">
        <v>570</v>
      </c>
      <c r="C27" s="72"/>
      <c r="D27" s="179">
        <v>2</v>
      </c>
      <c r="E27" s="155">
        <v>2</v>
      </c>
      <c r="F27" s="516">
        <f t="shared" si="0"/>
        <v>4</v>
      </c>
      <c r="G27" s="233">
        <v>197</v>
      </c>
      <c r="H27" s="200">
        <f>F27*G27</f>
        <v>788</v>
      </c>
    </row>
    <row r="28" spans="2:8" x14ac:dyDescent="0.2">
      <c r="B28" s="72" t="s">
        <v>176</v>
      </c>
      <c r="C28" s="72"/>
      <c r="D28" s="179">
        <v>4</v>
      </c>
      <c r="E28" s="155">
        <v>1.5</v>
      </c>
      <c r="F28" s="516">
        <f>D28*E28</f>
        <v>6</v>
      </c>
      <c r="G28" s="179">
        <v>100</v>
      </c>
      <c r="H28" s="200">
        <f t="shared" si="2"/>
        <v>600</v>
      </c>
    </row>
    <row r="29" spans="2:8" x14ac:dyDescent="0.2">
      <c r="B29" s="72" t="str">
        <f>Gewichte!B42</f>
        <v>Horn Höhensteuer 3 mm</v>
      </c>
      <c r="C29" s="72"/>
      <c r="D29" s="179">
        <v>1</v>
      </c>
      <c r="E29" s="192">
        <f>Gewichte!C42</f>
        <v>12</v>
      </c>
      <c r="F29" s="516">
        <f>D29*E29</f>
        <v>12</v>
      </c>
      <c r="G29" s="518">
        <f>Abmessungen!B63+5</f>
        <v>135</v>
      </c>
      <c r="H29" s="200">
        <f t="shared" si="2"/>
        <v>1620</v>
      </c>
    </row>
    <row r="30" spans="2:8" x14ac:dyDescent="0.2">
      <c r="B30" s="72" t="str">
        <f>Gewichte!B69</f>
        <v>Scharnier 16 x 32 mm (MP Jet)</v>
      </c>
      <c r="C30" s="72"/>
      <c r="D30" s="179">
        <v>6</v>
      </c>
      <c r="E30" s="192">
        <f>Gewichte!C69</f>
        <v>0.75</v>
      </c>
      <c r="F30" s="516">
        <f>D30*E30</f>
        <v>4.5</v>
      </c>
      <c r="G30" s="518">
        <f>Abmessungen!B63+1</f>
        <v>131</v>
      </c>
      <c r="H30" s="200">
        <f t="shared" si="2"/>
        <v>589.5</v>
      </c>
    </row>
    <row r="31" spans="2:8" x14ac:dyDescent="0.2">
      <c r="B31" s="72"/>
      <c r="C31" s="72"/>
      <c r="D31" s="104"/>
      <c r="E31" s="104"/>
      <c r="F31" s="176"/>
      <c r="G31" s="104"/>
      <c r="H31" s="343"/>
    </row>
    <row r="32" spans="2:8" x14ac:dyDescent="0.2">
      <c r="B32" s="79" t="s">
        <v>26</v>
      </c>
      <c r="C32" s="79"/>
      <c r="D32" s="77"/>
      <c r="E32" s="76"/>
      <c r="F32" s="532">
        <f>SUM(F15:F30)</f>
        <v>108.7</v>
      </c>
      <c r="G32" s="183"/>
      <c r="H32" s="200">
        <f>SUM(H15:H31)</f>
        <v>9922</v>
      </c>
    </row>
    <row r="33" spans="2:9" ht="13.5" thickBot="1" x14ac:dyDescent="0.25">
      <c r="B33" s="72" t="s">
        <v>178</v>
      </c>
      <c r="C33" s="72"/>
      <c r="D33" s="76"/>
      <c r="E33" s="76"/>
      <c r="F33" s="551">
        <v>-16</v>
      </c>
      <c r="G33" s="179">
        <v>80</v>
      </c>
      <c r="H33" s="537">
        <f>G33*F33</f>
        <v>-1280</v>
      </c>
      <c r="I33" s="40"/>
    </row>
    <row r="34" spans="2:9" x14ac:dyDescent="0.2">
      <c r="B34" s="72"/>
      <c r="C34" s="72"/>
      <c r="D34" s="76"/>
      <c r="E34" s="76"/>
      <c r="F34" s="95"/>
      <c r="G34" s="86"/>
      <c r="H34" s="343"/>
    </row>
    <row r="35" spans="2:9" x14ac:dyDescent="0.2">
      <c r="B35" s="79" t="s">
        <v>42</v>
      </c>
      <c r="C35" s="79"/>
      <c r="D35" s="76"/>
      <c r="E35" s="76"/>
      <c r="F35" s="532">
        <f>F32+F33</f>
        <v>92.7</v>
      </c>
      <c r="G35" s="532">
        <f>H35/F35</f>
        <v>93.22545846817691</v>
      </c>
      <c r="H35" s="200">
        <f>SUM(H32:H33)</f>
        <v>8642</v>
      </c>
      <c r="I35" s="2"/>
    </row>
    <row r="36" spans="2:9" x14ac:dyDescent="0.2">
      <c r="B36" s="72"/>
      <c r="C36" s="72"/>
      <c r="D36" s="76"/>
      <c r="E36" s="76"/>
      <c r="F36" s="77"/>
      <c r="G36" s="76"/>
      <c r="H36" s="76"/>
    </row>
    <row r="37" spans="2:9" x14ac:dyDescent="0.2">
      <c r="B37" s="79" t="s">
        <v>145</v>
      </c>
      <c r="C37" s="79"/>
      <c r="D37" s="87" t="s">
        <v>4</v>
      </c>
      <c r="E37" s="87" t="s">
        <v>3</v>
      </c>
      <c r="F37" s="77" t="s">
        <v>0</v>
      </c>
      <c r="G37" s="80" t="s">
        <v>33</v>
      </c>
      <c r="H37" s="81" t="s">
        <v>2</v>
      </c>
    </row>
    <row r="38" spans="2:9" x14ac:dyDescent="0.2">
      <c r="B38" s="79"/>
      <c r="C38" s="79"/>
      <c r="D38" s="87"/>
      <c r="E38" s="87"/>
      <c r="F38" s="77"/>
      <c r="G38" s="80"/>
      <c r="H38" s="81"/>
    </row>
    <row r="39" spans="2:9" x14ac:dyDescent="0.2">
      <c r="B39" s="72" t="s">
        <v>46</v>
      </c>
      <c r="C39" s="109"/>
      <c r="D39" s="527">
        <f>(Abmessungen!B18*2)-1</f>
        <v>26.093</v>
      </c>
      <c r="E39" s="87"/>
      <c r="F39" s="77"/>
      <c r="G39" s="80"/>
      <c r="H39" s="81"/>
      <c r="I39" s="2"/>
    </row>
    <row r="40" spans="2:9" x14ac:dyDescent="0.2">
      <c r="B40" s="72" t="str">
        <f>Gewichte!B106</f>
        <v>Grundierung Spannlack, verdünnt, 2 x</v>
      </c>
      <c r="C40" s="109"/>
      <c r="D40" s="199"/>
      <c r="E40" s="202">
        <f>Gewichte!C105</f>
        <v>0.1</v>
      </c>
      <c r="F40" s="517">
        <f>D39*E40</f>
        <v>2.6093000000000002</v>
      </c>
      <c r="G40" s="525">
        <v>120</v>
      </c>
      <c r="H40" s="512">
        <f>F40*G40</f>
        <v>313.11600000000004</v>
      </c>
      <c r="I40" s="511"/>
    </row>
    <row r="41" spans="2:9" x14ac:dyDescent="0.2">
      <c r="B41" s="72" t="s">
        <v>221</v>
      </c>
      <c r="C41" s="109"/>
      <c r="D41" s="245">
        <v>7.7</v>
      </c>
      <c r="E41" s="202">
        <f>Gewichte!C115</f>
        <v>0.2</v>
      </c>
      <c r="F41" s="517">
        <f>D41*E41</f>
        <v>1.54</v>
      </c>
      <c r="G41" s="525">
        <v>120</v>
      </c>
      <c r="H41" s="512">
        <f>F41*G41</f>
        <v>184.8</v>
      </c>
      <c r="I41" s="2"/>
    </row>
    <row r="42" spans="2:9" x14ac:dyDescent="0.2">
      <c r="B42" s="72" t="str">
        <f>Gewichte!B119</f>
        <v>Silkspan light BH-916 (2015) plus 4 Anstr. Spl.</v>
      </c>
      <c r="C42" s="72"/>
      <c r="D42" s="256"/>
      <c r="E42" s="552">
        <f>Gewichte!C118</f>
        <v>0.4</v>
      </c>
      <c r="F42" s="516">
        <f>D39*E42</f>
        <v>10.437200000000001</v>
      </c>
      <c r="G42" s="525">
        <v>120</v>
      </c>
      <c r="H42" s="200">
        <f>F42*G42</f>
        <v>1252.4640000000002</v>
      </c>
      <c r="I42" s="511"/>
    </row>
    <row r="43" spans="2:9" x14ac:dyDescent="0.2">
      <c r="B43" s="72" t="str">
        <f>Gewichte!B127</f>
        <v>Basislacke und 2 k-Klarlack</v>
      </c>
      <c r="C43" s="129"/>
      <c r="D43" s="256"/>
      <c r="E43" s="543">
        <f>Gewichte!C126</f>
        <v>0.89999999999999991</v>
      </c>
      <c r="F43" s="516">
        <f>D39*E43</f>
        <v>23.483699999999999</v>
      </c>
      <c r="G43" s="525">
        <v>120</v>
      </c>
      <c r="H43" s="200">
        <f>F43*G43</f>
        <v>2818.0439999999999</v>
      </c>
    </row>
    <row r="44" spans="2:9" x14ac:dyDescent="0.2">
      <c r="B44" s="72"/>
      <c r="C44" s="129"/>
      <c r="D44" s="256"/>
      <c r="E44" s="92"/>
      <c r="F44" s="256"/>
      <c r="G44" s="526"/>
      <c r="H44" s="183"/>
    </row>
    <row r="45" spans="2:9" x14ac:dyDescent="0.2">
      <c r="B45" s="172" t="s">
        <v>153</v>
      </c>
      <c r="C45" s="129"/>
      <c r="D45" s="256"/>
      <c r="E45" s="92"/>
      <c r="F45" s="516">
        <f>F39+F40+F42+F43</f>
        <v>36.530200000000001</v>
      </c>
      <c r="G45" s="526"/>
      <c r="H45" s="200">
        <f>SUM(H40:H43)</f>
        <v>4568.424</v>
      </c>
    </row>
    <row r="46" spans="2:9" x14ac:dyDescent="0.2">
      <c r="B46" s="541"/>
      <c r="C46" s="129"/>
      <c r="D46" s="256"/>
      <c r="E46" s="92"/>
      <c r="F46" s="256"/>
      <c r="G46" s="526"/>
      <c r="H46" s="200"/>
    </row>
    <row r="47" spans="2:9" x14ac:dyDescent="0.2">
      <c r="B47" s="79" t="s">
        <v>177</v>
      </c>
      <c r="C47" s="129"/>
      <c r="D47" s="256"/>
      <c r="E47" s="104"/>
      <c r="F47" s="527">
        <f>F35+F45</f>
        <v>129.2302</v>
      </c>
      <c r="G47" s="528">
        <f>(H35+H45)/F47</f>
        <v>102.22396931986486</v>
      </c>
      <c r="H47" s="200"/>
      <c r="I47" s="2"/>
    </row>
    <row r="48" spans="2:9" x14ac:dyDescent="0.2">
      <c r="B48" s="223"/>
      <c r="C48" s="224"/>
      <c r="D48" s="553"/>
      <c r="E48" s="5"/>
      <c r="F48" s="554"/>
      <c r="G48" s="555"/>
      <c r="H48" s="556"/>
    </row>
    <row r="49" spans="2:11" x14ac:dyDescent="0.2">
      <c r="B49" s="2"/>
      <c r="C49" s="2"/>
      <c r="D49" s="2"/>
      <c r="E49" s="2"/>
      <c r="F49" s="557"/>
      <c r="G49" s="2"/>
      <c r="H49" s="2"/>
    </row>
    <row r="50" spans="2:11" x14ac:dyDescent="0.2">
      <c r="B50" s="72"/>
      <c r="C50" s="72"/>
      <c r="D50" s="76"/>
      <c r="E50" s="76"/>
      <c r="F50" s="76"/>
      <c r="G50" s="76"/>
      <c r="H50" s="76"/>
    </row>
    <row r="51" spans="2:11" x14ac:dyDescent="0.2">
      <c r="B51" s="79" t="str">
        <f>B47</f>
        <v>Höhenleitwerk, lackiert</v>
      </c>
      <c r="C51" s="79"/>
      <c r="D51" s="77"/>
      <c r="E51" s="76"/>
      <c r="F51" s="528">
        <f>F47</f>
        <v>129.2302</v>
      </c>
      <c r="G51" s="76"/>
      <c r="H51" s="76"/>
    </row>
    <row r="52" spans="2:11" x14ac:dyDescent="0.2">
      <c r="B52" s="72" t="s">
        <v>127</v>
      </c>
      <c r="C52" s="79"/>
      <c r="D52" s="77"/>
      <c r="E52" s="76"/>
      <c r="F52" s="535"/>
      <c r="G52" s="528">
        <f>G47</f>
        <v>102.22396931986486</v>
      </c>
      <c r="H52" s="76"/>
    </row>
    <row r="53" spans="2:11" x14ac:dyDescent="0.2">
      <c r="B53" s="72" t="s">
        <v>198</v>
      </c>
      <c r="C53" s="72"/>
      <c r="D53" s="76"/>
      <c r="E53" s="76"/>
      <c r="F53" s="76"/>
      <c r="G53" s="532">
        <f>Abmessungen!B21+Abmessungen!B43+Abmessungen!B22-Abmessungen!B63+Höhenleitwerk!G52</f>
        <v>994.22396931986486</v>
      </c>
      <c r="H53" s="200">
        <f>F51*G53</f>
        <v>128483.76239999999</v>
      </c>
    </row>
    <row r="54" spans="2:11" x14ac:dyDescent="0.2">
      <c r="B54" s="72"/>
      <c r="C54" s="72"/>
      <c r="D54" s="76"/>
      <c r="E54" s="76"/>
      <c r="F54" s="76"/>
      <c r="G54" s="76"/>
      <c r="H54" s="76"/>
    </row>
    <row r="55" spans="2:11" ht="13.5" thickBot="1" x14ac:dyDescent="0.25">
      <c r="B55" s="163"/>
      <c r="C55" s="163"/>
      <c r="D55" s="2"/>
      <c r="E55" s="2"/>
      <c r="F55" s="2"/>
      <c r="G55" s="2"/>
      <c r="H55" s="2"/>
    </row>
    <row r="56" spans="2:11" ht="15.75" x14ac:dyDescent="0.25">
      <c r="B56" s="73" t="s">
        <v>14</v>
      </c>
      <c r="C56" s="529"/>
      <c r="D56" s="530"/>
      <c r="E56" s="530"/>
      <c r="F56" s="530"/>
      <c r="G56" s="531"/>
      <c r="H56" s="2"/>
    </row>
    <row r="57" spans="2:11" x14ac:dyDescent="0.2">
      <c r="B57" s="74" t="s">
        <v>0</v>
      </c>
      <c r="C57" s="79"/>
      <c r="D57" s="76"/>
      <c r="E57" s="76"/>
      <c r="F57" s="532">
        <f>F51</f>
        <v>129.2302</v>
      </c>
      <c r="G57" s="533"/>
      <c r="H57" s="2"/>
    </row>
    <row r="58" spans="2:11" x14ac:dyDescent="0.2">
      <c r="B58" s="74" t="s">
        <v>39</v>
      </c>
      <c r="C58" s="558">
        <f>Abmessungen!B18</f>
        <v>13.5465</v>
      </c>
      <c r="D58" s="76"/>
      <c r="E58" s="76"/>
      <c r="F58" s="535"/>
      <c r="G58" s="533"/>
      <c r="H58" s="2"/>
    </row>
    <row r="59" spans="2:11" x14ac:dyDescent="0.2">
      <c r="B59" s="74" t="s">
        <v>40</v>
      </c>
      <c r="C59" s="559">
        <f>(C58/6.452)*100</f>
        <v>209.95815251084937</v>
      </c>
      <c r="D59" s="76"/>
      <c r="E59" s="76"/>
      <c r="F59" s="535"/>
      <c r="G59" s="533"/>
      <c r="H59" s="2"/>
    </row>
    <row r="60" spans="2:11" x14ac:dyDescent="0.2">
      <c r="B60" s="74" t="s">
        <v>41</v>
      </c>
      <c r="C60" s="559">
        <f>F57/C58</f>
        <v>9.5397482744620383</v>
      </c>
      <c r="D60" s="76"/>
      <c r="E60" s="76"/>
      <c r="F60" s="535"/>
      <c r="G60" s="533"/>
      <c r="H60" s="2"/>
    </row>
    <row r="61" spans="2:11" ht="13.5" thickBot="1" x14ac:dyDescent="0.25">
      <c r="B61" s="560" t="s">
        <v>198</v>
      </c>
      <c r="C61" s="537"/>
      <c r="D61" s="537"/>
      <c r="E61" s="537"/>
      <c r="F61" s="537"/>
      <c r="G61" s="538">
        <f>G53</f>
        <v>994.22396931986486</v>
      </c>
      <c r="H61" s="2"/>
      <c r="I61" s="149"/>
    </row>
    <row r="64" spans="2:11" x14ac:dyDescent="0.2">
      <c r="J64" s="2"/>
      <c r="K64" s="31"/>
    </row>
    <row r="65" spans="10:11" x14ac:dyDescent="0.2">
      <c r="J65" s="2"/>
      <c r="K65" s="31"/>
    </row>
    <row r="66" spans="10:11" x14ac:dyDescent="0.2">
      <c r="J66" s="2"/>
      <c r="K66" s="31"/>
    </row>
    <row r="67" spans="10:11" x14ac:dyDescent="0.2">
      <c r="J67" s="2"/>
      <c r="K67" s="31"/>
    </row>
    <row r="68" spans="10:11" x14ac:dyDescent="0.2">
      <c r="J68" s="2"/>
      <c r="K68" s="31"/>
    </row>
    <row r="69" spans="10:11" x14ac:dyDescent="0.2">
      <c r="J69" s="2"/>
      <c r="K69" s="31"/>
    </row>
    <row r="71" spans="10:11" x14ac:dyDescent="0.2">
      <c r="K71" s="34"/>
    </row>
  </sheetData>
  <mergeCells count="1">
    <mergeCell ref="C9:G9"/>
  </mergeCells>
  <phoneticPr fontId="1" type="noConversion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28" zoomScale="98" zoomScaleNormal="98" workbookViewId="0">
      <selection activeCell="G29" sqref="G29"/>
    </sheetView>
  </sheetViews>
  <sheetFormatPr baseColWidth="10" defaultRowHeight="12.75" x14ac:dyDescent="0.2"/>
  <cols>
    <col min="1" max="1" width="3" customWidth="1"/>
    <col min="2" max="2" width="42.140625" customWidth="1"/>
    <col min="3" max="3" width="11.5703125" customWidth="1"/>
    <col min="4" max="4" width="7.85546875" customWidth="1"/>
    <col min="5" max="5" width="11" customWidth="1"/>
    <col min="6" max="6" width="8.42578125" customWidth="1"/>
    <col min="7" max="7" width="11" customWidth="1"/>
    <col min="8" max="8" width="10.140625" customWidth="1"/>
    <col min="10" max="10" width="19.140625" customWidth="1"/>
    <col min="11" max="11" width="12.5703125" customWidth="1"/>
  </cols>
  <sheetData>
    <row r="1" spans="1:11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11" x14ac:dyDescent="0.2">
      <c r="A2" s="40"/>
      <c r="B2" s="39" t="s">
        <v>75</v>
      </c>
      <c r="C2" s="62" t="s">
        <v>86</v>
      </c>
      <c r="D2" s="40"/>
      <c r="E2" s="119"/>
      <c r="F2" s="40"/>
      <c r="G2" s="40"/>
      <c r="H2" s="40"/>
      <c r="I2" s="40"/>
    </row>
    <row r="3" spans="1:11" x14ac:dyDescent="0.2">
      <c r="A3" s="40"/>
      <c r="B3" s="39" t="s">
        <v>95</v>
      </c>
      <c r="C3" s="64"/>
      <c r="D3" s="40"/>
      <c r="E3" s="40"/>
      <c r="F3" s="40"/>
      <c r="G3" s="40"/>
      <c r="H3" s="40"/>
      <c r="I3" s="40"/>
    </row>
    <row r="4" spans="1:11" x14ac:dyDescent="0.2">
      <c r="A4" s="40"/>
      <c r="B4" s="38" t="s">
        <v>80</v>
      </c>
      <c r="C4" s="189"/>
      <c r="D4" s="40"/>
      <c r="E4" s="40"/>
      <c r="F4" s="40"/>
      <c r="G4" s="40"/>
      <c r="H4" s="40"/>
      <c r="I4" s="40"/>
    </row>
    <row r="5" spans="1:11" x14ac:dyDescent="0.2">
      <c r="A5" s="40"/>
      <c r="B5" s="39" t="s">
        <v>90</v>
      </c>
      <c r="C5" s="116"/>
      <c r="D5" s="40"/>
      <c r="E5" s="40"/>
      <c r="F5" s="40"/>
      <c r="G5" s="40"/>
      <c r="H5" s="40"/>
      <c r="I5" s="40"/>
    </row>
    <row r="6" spans="1:11" x14ac:dyDescent="0.2">
      <c r="A6" s="40"/>
      <c r="B6" s="89" t="s">
        <v>96</v>
      </c>
      <c r="C6" s="188"/>
      <c r="D6" s="40"/>
      <c r="E6" s="40"/>
      <c r="F6" s="40"/>
      <c r="G6" s="40"/>
      <c r="H6" s="40"/>
      <c r="I6" s="40"/>
    </row>
    <row r="7" spans="1:11" x14ac:dyDescent="0.2">
      <c r="A7" s="40"/>
      <c r="B7" s="40"/>
      <c r="C7" s="40"/>
      <c r="D7" s="40"/>
      <c r="E7" s="40"/>
      <c r="F7" s="40"/>
      <c r="G7" s="40"/>
      <c r="H7" s="40"/>
      <c r="I7" s="40"/>
    </row>
    <row r="8" spans="1:11" ht="13.5" thickBot="1" x14ac:dyDescent="0.25">
      <c r="A8" s="40"/>
      <c r="B8" s="40"/>
      <c r="C8" s="40"/>
      <c r="D8" s="40"/>
      <c r="E8" s="40"/>
      <c r="F8" s="40"/>
      <c r="G8" s="40"/>
      <c r="H8" s="40"/>
      <c r="I8" s="40"/>
    </row>
    <row r="9" spans="1:11" ht="30" customHeight="1" thickBot="1" x14ac:dyDescent="0.3">
      <c r="A9" s="40"/>
      <c r="B9" s="41" t="s">
        <v>28</v>
      </c>
      <c r="C9" s="614" t="str">
        <f>Schwerpunktrechnung!B2</f>
        <v>Fiat C. 29</v>
      </c>
      <c r="D9" s="610"/>
      <c r="E9" s="610"/>
      <c r="F9" s="610"/>
      <c r="G9" s="611"/>
      <c r="H9" s="144"/>
      <c r="I9" s="40"/>
    </row>
    <row r="10" spans="1:11" x14ac:dyDescent="0.2">
      <c r="A10" s="40"/>
      <c r="B10" s="42" t="s">
        <v>29</v>
      </c>
      <c r="C10" s="547">
        <f>Abmessungen!B12-Abmessungen!B14</f>
        <v>34.213350000000005</v>
      </c>
      <c r="D10" s="42"/>
      <c r="E10" s="43"/>
      <c r="F10" s="43"/>
      <c r="G10" s="44"/>
      <c r="H10" s="124"/>
      <c r="I10" s="40"/>
      <c r="K10" s="24"/>
    </row>
    <row r="11" spans="1:11" x14ac:dyDescent="0.2">
      <c r="A11" s="40"/>
      <c r="B11" s="89" t="s">
        <v>195</v>
      </c>
      <c r="C11" s="89"/>
      <c r="D11" s="157"/>
      <c r="E11" s="158"/>
      <c r="F11" s="145">
        <f>Schwerpunktrechnung!E2</f>
        <v>44096</v>
      </c>
      <c r="G11" s="45"/>
      <c r="H11" s="42"/>
      <c r="I11" s="40"/>
    </row>
    <row r="12" spans="1:11" x14ac:dyDescent="0.2">
      <c r="A12" s="40"/>
      <c r="B12" s="42"/>
      <c r="C12" s="42"/>
      <c r="D12" s="43"/>
      <c r="E12" s="43"/>
      <c r="F12" s="43"/>
      <c r="G12" s="45"/>
      <c r="H12" s="42"/>
      <c r="I12" s="40"/>
    </row>
    <row r="13" spans="1:11" ht="38.25" x14ac:dyDescent="0.2">
      <c r="A13" s="40"/>
      <c r="B13" s="42"/>
      <c r="C13" s="42"/>
      <c r="D13" s="46" t="s">
        <v>77</v>
      </c>
      <c r="E13" s="46" t="s">
        <v>30</v>
      </c>
      <c r="F13" s="46" t="s">
        <v>0</v>
      </c>
      <c r="G13" s="47" t="s">
        <v>78</v>
      </c>
      <c r="H13" s="48" t="s">
        <v>2</v>
      </c>
      <c r="I13" s="40"/>
    </row>
    <row r="14" spans="1:11" x14ac:dyDescent="0.2">
      <c r="A14" s="40"/>
      <c r="B14" s="43"/>
      <c r="C14" s="43"/>
      <c r="D14" s="43"/>
      <c r="E14" s="43"/>
      <c r="F14" s="43"/>
      <c r="G14" s="45"/>
      <c r="H14" s="42"/>
      <c r="I14" s="40"/>
    </row>
    <row r="15" spans="1:11" x14ac:dyDescent="0.2">
      <c r="A15" s="40"/>
      <c r="B15" s="72" t="s">
        <v>237</v>
      </c>
      <c r="C15" s="72"/>
      <c r="D15" s="179">
        <v>4</v>
      </c>
      <c r="E15" s="155">
        <v>4</v>
      </c>
      <c r="F15" s="516">
        <f t="shared" ref="F15:F37" si="0">D15*E15</f>
        <v>16</v>
      </c>
      <c r="G15" s="236">
        <v>115</v>
      </c>
      <c r="H15" s="183">
        <f t="shared" ref="H15:H37" si="1">F15*G15</f>
        <v>1840</v>
      </c>
      <c r="I15" s="40"/>
      <c r="K15" s="205"/>
    </row>
    <row r="16" spans="1:11" x14ac:dyDescent="0.2">
      <c r="A16" s="40"/>
      <c r="B16" s="72" t="s">
        <v>559</v>
      </c>
      <c r="C16" s="72"/>
      <c r="D16" s="179">
        <v>2</v>
      </c>
      <c r="E16" s="155">
        <v>3</v>
      </c>
      <c r="F16" s="516">
        <f t="shared" si="0"/>
        <v>6</v>
      </c>
      <c r="G16" s="236">
        <v>269</v>
      </c>
      <c r="H16" s="183">
        <f t="shared" si="1"/>
        <v>1614</v>
      </c>
      <c r="I16" s="40"/>
    </row>
    <row r="17" spans="1:12" x14ac:dyDescent="0.2">
      <c r="A17" s="40"/>
      <c r="B17" s="72" t="s">
        <v>564</v>
      </c>
      <c r="C17" s="72"/>
      <c r="D17" s="179">
        <v>2</v>
      </c>
      <c r="E17" s="155">
        <v>5</v>
      </c>
      <c r="F17" s="516">
        <f>D17*E17</f>
        <v>10</v>
      </c>
      <c r="G17" s="236">
        <v>258</v>
      </c>
      <c r="H17" s="183">
        <f>F17*G17</f>
        <v>2580</v>
      </c>
      <c r="I17" s="40"/>
    </row>
    <row r="18" spans="1:12" x14ac:dyDescent="0.2">
      <c r="A18" s="40"/>
      <c r="B18" s="72" t="s">
        <v>565</v>
      </c>
      <c r="C18" s="72"/>
      <c r="D18" s="179">
        <v>2</v>
      </c>
      <c r="E18" s="155">
        <v>11</v>
      </c>
      <c r="F18" s="516">
        <f t="shared" si="0"/>
        <v>22</v>
      </c>
      <c r="G18" s="236">
        <v>41</v>
      </c>
      <c r="H18" s="183">
        <f t="shared" si="1"/>
        <v>902</v>
      </c>
      <c r="I18" s="40"/>
    </row>
    <row r="19" spans="1:12" x14ac:dyDescent="0.2">
      <c r="A19" s="40"/>
      <c r="B19" s="72" t="s">
        <v>567</v>
      </c>
      <c r="C19" s="72"/>
      <c r="D19" s="179">
        <v>2</v>
      </c>
      <c r="E19" s="155">
        <v>4</v>
      </c>
      <c r="F19" s="516">
        <f t="shared" si="0"/>
        <v>8</v>
      </c>
      <c r="G19" s="236">
        <v>43</v>
      </c>
      <c r="H19" s="183">
        <f t="shared" si="1"/>
        <v>344</v>
      </c>
      <c r="I19" s="40"/>
    </row>
    <row r="20" spans="1:12" x14ac:dyDescent="0.2">
      <c r="A20" s="40"/>
      <c r="B20" s="541" t="s">
        <v>566</v>
      </c>
      <c r="C20" s="72"/>
      <c r="D20" s="179">
        <v>2</v>
      </c>
      <c r="E20" s="155">
        <v>11</v>
      </c>
      <c r="F20" s="516">
        <f t="shared" si="0"/>
        <v>22</v>
      </c>
      <c r="G20" s="236">
        <v>100</v>
      </c>
      <c r="H20" s="183">
        <f t="shared" si="1"/>
        <v>2200</v>
      </c>
      <c r="I20" s="40"/>
    </row>
    <row r="21" spans="1:12" x14ac:dyDescent="0.2">
      <c r="A21" s="40"/>
      <c r="B21" s="541" t="s">
        <v>568</v>
      </c>
      <c r="C21" s="72"/>
      <c r="D21" s="179">
        <v>11</v>
      </c>
      <c r="E21" s="155">
        <v>0.3</v>
      </c>
      <c r="F21" s="516">
        <f t="shared" si="0"/>
        <v>3.3</v>
      </c>
      <c r="G21" s="236">
        <v>120</v>
      </c>
      <c r="H21" s="183">
        <f t="shared" si="1"/>
        <v>396</v>
      </c>
      <c r="I21" s="40"/>
    </row>
    <row r="22" spans="1:12" ht="25.5" x14ac:dyDescent="0.2">
      <c r="A22" s="40"/>
      <c r="B22" s="72" t="str">
        <f>Gewichte!B40</f>
        <v>Steuerdreieck 110 mm, 2 x1.5 mm GFK mit Achse und Gelenk</v>
      </c>
      <c r="C22" s="72"/>
      <c r="D22" s="179">
        <v>1</v>
      </c>
      <c r="E22" s="206">
        <f>Gewichte!C40</f>
        <v>28</v>
      </c>
      <c r="F22" s="516">
        <f t="shared" si="0"/>
        <v>28</v>
      </c>
      <c r="G22" s="236">
        <v>90</v>
      </c>
      <c r="H22" s="183">
        <f t="shared" si="1"/>
        <v>2520</v>
      </c>
      <c r="I22" s="40"/>
    </row>
    <row r="23" spans="1:12" x14ac:dyDescent="0.2">
      <c r="A23" s="40"/>
      <c r="B23" s="72" t="str">
        <f>Gewichte!B34</f>
        <v>2 Steuerkabel 0.7 mit Anschlüssen</v>
      </c>
      <c r="C23" s="72"/>
      <c r="D23" s="179">
        <v>1</v>
      </c>
      <c r="E23" s="208">
        <f>Gewichte!C34</f>
        <v>14</v>
      </c>
      <c r="F23" s="516">
        <f t="shared" si="0"/>
        <v>14</v>
      </c>
      <c r="G23" s="236">
        <v>120</v>
      </c>
      <c r="H23" s="183">
        <f t="shared" si="1"/>
        <v>1680</v>
      </c>
      <c r="I23" s="40"/>
    </row>
    <row r="24" spans="1:12" x14ac:dyDescent="0.2">
      <c r="A24" s="40"/>
      <c r="B24" s="373" t="str">
        <f>Gewichte!B38</f>
        <v>Kurze Schubstange, CFK mit 1 Gelenk</v>
      </c>
      <c r="C24" s="72"/>
      <c r="D24" s="179">
        <v>1</v>
      </c>
      <c r="E24" s="206">
        <f>Gewichte!C38</f>
        <v>9</v>
      </c>
      <c r="F24" s="516">
        <f t="shared" si="0"/>
        <v>9</v>
      </c>
      <c r="G24" s="236">
        <v>175</v>
      </c>
      <c r="H24" s="183">
        <f t="shared" si="1"/>
        <v>1575</v>
      </c>
      <c r="I24" s="40"/>
    </row>
    <row r="25" spans="1:12" x14ac:dyDescent="0.2">
      <c r="A25" s="40"/>
      <c r="B25" s="541" t="str">
        <f>Gewichte!B45</f>
        <v xml:space="preserve">Horn Klappen 3 mm </v>
      </c>
      <c r="C25" s="72"/>
      <c r="D25" s="179">
        <v>1</v>
      </c>
      <c r="E25" s="192">
        <f>Gewichte!C45</f>
        <v>14</v>
      </c>
      <c r="F25" s="516">
        <f t="shared" si="0"/>
        <v>14</v>
      </c>
      <c r="G25" s="236">
        <v>267</v>
      </c>
      <c r="H25" s="183">
        <f t="shared" si="1"/>
        <v>3738</v>
      </c>
      <c r="I25" s="40"/>
    </row>
    <row r="26" spans="1:12" x14ac:dyDescent="0.2">
      <c r="A26" s="40"/>
      <c r="B26" s="72" t="str">
        <f>Gewichte!B69</f>
        <v>Scharnier 16 x 32 mm (MP Jet)</v>
      </c>
      <c r="C26" s="72"/>
      <c r="D26" s="179">
        <v>8</v>
      </c>
      <c r="E26" s="510">
        <f>Gewichte!C69</f>
        <v>0.75</v>
      </c>
      <c r="F26" s="516">
        <f t="shared" si="0"/>
        <v>6</v>
      </c>
      <c r="G26" s="236">
        <v>265</v>
      </c>
      <c r="H26" s="183">
        <f t="shared" si="1"/>
        <v>1590</v>
      </c>
      <c r="I26" s="40"/>
    </row>
    <row r="27" spans="1:12" x14ac:dyDescent="0.2">
      <c r="A27" s="40"/>
      <c r="B27" s="72" t="s">
        <v>130</v>
      </c>
      <c r="C27" s="72"/>
      <c r="D27" s="179">
        <v>25</v>
      </c>
      <c r="E27" s="155">
        <v>1.7</v>
      </c>
      <c r="F27" s="516">
        <f t="shared" si="0"/>
        <v>42.5</v>
      </c>
      <c r="G27" s="236">
        <v>170</v>
      </c>
      <c r="H27" s="183">
        <f t="shared" si="1"/>
        <v>7225</v>
      </c>
      <c r="I27" s="40"/>
    </row>
    <row r="28" spans="1:12" x14ac:dyDescent="0.2">
      <c r="A28" s="40"/>
      <c r="B28" s="72" t="s">
        <v>219</v>
      </c>
      <c r="C28" s="72"/>
      <c r="D28" s="179">
        <v>8</v>
      </c>
      <c r="E28" s="155">
        <v>1.7</v>
      </c>
      <c r="F28" s="516">
        <f t="shared" si="0"/>
        <v>13.6</v>
      </c>
      <c r="G28" s="236">
        <v>180</v>
      </c>
      <c r="H28" s="183">
        <f t="shared" si="1"/>
        <v>2448</v>
      </c>
      <c r="I28" s="40"/>
    </row>
    <row r="29" spans="1:12" x14ac:dyDescent="0.2">
      <c r="A29" s="40"/>
      <c r="B29" s="72" t="s">
        <v>241</v>
      </c>
      <c r="C29" s="72"/>
      <c r="D29" s="179">
        <v>21</v>
      </c>
      <c r="E29" s="155">
        <v>1.7</v>
      </c>
      <c r="F29" s="516">
        <f>D29*E29</f>
        <v>35.699999999999996</v>
      </c>
      <c r="G29" s="236">
        <v>85</v>
      </c>
      <c r="H29" s="183">
        <f t="shared" si="1"/>
        <v>3034.4999999999995</v>
      </c>
      <c r="I29" s="40"/>
    </row>
    <row r="30" spans="1:12" x14ac:dyDescent="0.2">
      <c r="A30" s="40"/>
      <c r="B30" s="72" t="s">
        <v>220</v>
      </c>
      <c r="C30" s="72"/>
      <c r="D30" s="179">
        <v>40</v>
      </c>
      <c r="E30" s="155">
        <v>0.12</v>
      </c>
      <c r="F30" s="516">
        <f>D30*E30</f>
        <v>4.8</v>
      </c>
      <c r="G30" s="236">
        <v>200</v>
      </c>
      <c r="H30" s="183">
        <f>F30*G30</f>
        <v>960</v>
      </c>
      <c r="I30" s="40"/>
      <c r="K30" s="149"/>
    </row>
    <row r="31" spans="1:12" x14ac:dyDescent="0.2">
      <c r="A31" s="40"/>
      <c r="B31" s="72" t="s">
        <v>238</v>
      </c>
      <c r="C31" s="72"/>
      <c r="D31" s="179">
        <v>9</v>
      </c>
      <c r="E31" s="155">
        <v>1.7</v>
      </c>
      <c r="F31" s="516">
        <f>D31*E31</f>
        <v>15.299999999999999</v>
      </c>
      <c r="G31" s="236">
        <v>260</v>
      </c>
      <c r="H31" s="183">
        <f>F31*G31</f>
        <v>3977.9999999999995</v>
      </c>
      <c r="I31" s="40"/>
      <c r="K31" s="149"/>
    </row>
    <row r="32" spans="1:12" x14ac:dyDescent="0.2">
      <c r="A32" s="40"/>
      <c r="B32" s="72" t="s">
        <v>261</v>
      </c>
      <c r="C32" s="72"/>
      <c r="D32" s="179">
        <v>1</v>
      </c>
      <c r="E32" s="155">
        <v>9</v>
      </c>
      <c r="F32" s="516">
        <f t="shared" si="0"/>
        <v>9</v>
      </c>
      <c r="G32" s="548">
        <v>150</v>
      </c>
      <c r="H32" s="183">
        <f t="shared" si="1"/>
        <v>1350</v>
      </c>
      <c r="I32" s="40"/>
      <c r="L32" s="24"/>
    </row>
    <row r="33" spans="1:11" x14ac:dyDescent="0.2">
      <c r="A33" s="40"/>
      <c r="B33" s="72" t="s">
        <v>262</v>
      </c>
      <c r="C33" s="72"/>
      <c r="D33" s="179">
        <v>1</v>
      </c>
      <c r="E33" s="155">
        <v>14</v>
      </c>
      <c r="F33" s="516">
        <f t="shared" si="0"/>
        <v>14</v>
      </c>
      <c r="G33" s="236">
        <v>150</v>
      </c>
      <c r="H33" s="183">
        <f t="shared" si="1"/>
        <v>2100</v>
      </c>
      <c r="I33" s="40"/>
    </row>
    <row r="34" spans="1:11" x14ac:dyDescent="0.2">
      <c r="A34" s="40"/>
      <c r="B34" s="72" t="s">
        <v>563</v>
      </c>
      <c r="C34" s="72"/>
      <c r="D34" s="179">
        <v>1</v>
      </c>
      <c r="E34" s="155">
        <v>6</v>
      </c>
      <c r="F34" s="516">
        <f>D34*E34</f>
        <v>6</v>
      </c>
      <c r="G34" s="236">
        <v>140</v>
      </c>
      <c r="H34" s="183">
        <f t="shared" si="1"/>
        <v>840</v>
      </c>
      <c r="I34" s="40"/>
    </row>
    <row r="35" spans="1:11" x14ac:dyDescent="0.2">
      <c r="A35" s="40"/>
      <c r="B35" s="72" t="s">
        <v>209</v>
      </c>
      <c r="C35" s="72"/>
      <c r="D35" s="179">
        <v>1</v>
      </c>
      <c r="E35" s="155">
        <v>2</v>
      </c>
      <c r="F35" s="516">
        <f>D35*E35</f>
        <v>2</v>
      </c>
      <c r="G35" s="236">
        <v>307</v>
      </c>
      <c r="H35" s="183">
        <f>F35*G35</f>
        <v>614</v>
      </c>
      <c r="I35" s="40"/>
    </row>
    <row r="36" spans="1:11" x14ac:dyDescent="0.2">
      <c r="A36" s="40"/>
      <c r="B36" s="72" t="s">
        <v>216</v>
      </c>
      <c r="C36" s="72"/>
      <c r="D36" s="179">
        <v>1</v>
      </c>
      <c r="E36" s="155">
        <v>12</v>
      </c>
      <c r="F36" s="516">
        <f t="shared" si="0"/>
        <v>12</v>
      </c>
      <c r="G36" s="236">
        <v>170</v>
      </c>
      <c r="H36" s="183">
        <f t="shared" si="1"/>
        <v>2040</v>
      </c>
      <c r="I36" s="40"/>
      <c r="K36" s="24"/>
    </row>
    <row r="37" spans="1:11" x14ac:dyDescent="0.2">
      <c r="A37" s="40"/>
      <c r="B37" s="72" t="s">
        <v>164</v>
      </c>
      <c r="C37" s="72"/>
      <c r="D37" s="179">
        <v>1</v>
      </c>
      <c r="E37" s="155">
        <v>5</v>
      </c>
      <c r="F37" s="516">
        <f t="shared" si="0"/>
        <v>5</v>
      </c>
      <c r="G37" s="236">
        <v>130</v>
      </c>
      <c r="H37" s="183">
        <f t="shared" si="1"/>
        <v>650</v>
      </c>
      <c r="I37" s="40"/>
    </row>
    <row r="38" spans="1:11" x14ac:dyDescent="0.2">
      <c r="A38" s="40"/>
      <c r="B38" s="72"/>
      <c r="C38" s="72"/>
      <c r="D38" s="76"/>
      <c r="E38" s="76"/>
      <c r="F38" s="2"/>
      <c r="G38" s="77"/>
      <c r="H38" s="294"/>
      <c r="I38" s="40"/>
    </row>
    <row r="39" spans="1:11" x14ac:dyDescent="0.2">
      <c r="A39" s="40"/>
      <c r="B39" s="79" t="s">
        <v>26</v>
      </c>
      <c r="C39" s="79"/>
      <c r="D39" s="77"/>
      <c r="E39" s="76"/>
      <c r="F39" s="528">
        <f>SUM(F15:F37)</f>
        <v>318.2</v>
      </c>
      <c r="G39" s="528">
        <f>H39/F39</f>
        <v>145.24984286612195</v>
      </c>
      <c r="H39" s="183">
        <f>SUM(H15:H37)</f>
        <v>46218.5</v>
      </c>
      <c r="I39" s="53"/>
    </row>
    <row r="40" spans="1:11" x14ac:dyDescent="0.2">
      <c r="A40" s="40"/>
      <c r="B40" s="72" t="s">
        <v>31</v>
      </c>
      <c r="C40" s="72"/>
      <c r="D40" s="76"/>
      <c r="E40" s="76"/>
      <c r="F40" s="236">
        <v>-15</v>
      </c>
      <c r="G40" s="236">
        <v>148</v>
      </c>
      <c r="H40" s="104">
        <f>F40*G40</f>
        <v>-2220</v>
      </c>
      <c r="I40" s="40"/>
    </row>
    <row r="41" spans="1:11" x14ac:dyDescent="0.2">
      <c r="A41" s="40"/>
      <c r="B41" s="72"/>
      <c r="C41" s="72"/>
      <c r="D41" s="76"/>
      <c r="E41" s="76"/>
      <c r="F41" s="294"/>
      <c r="G41" s="92"/>
      <c r="H41" s="294"/>
      <c r="I41" s="40"/>
    </row>
    <row r="42" spans="1:11" x14ac:dyDescent="0.2">
      <c r="A42" s="40"/>
      <c r="B42" s="79" t="s">
        <v>42</v>
      </c>
      <c r="C42" s="79"/>
      <c r="D42" s="76"/>
      <c r="E42" s="76"/>
      <c r="F42" s="528">
        <f>F39+F40</f>
        <v>303.2</v>
      </c>
      <c r="G42" s="528">
        <f>H42/F42</f>
        <v>145.11378627968338</v>
      </c>
      <c r="H42" s="183">
        <f>H39+H40</f>
        <v>43998.5</v>
      </c>
      <c r="I42" s="32"/>
      <c r="J42" s="2"/>
    </row>
    <row r="43" spans="1:11" x14ac:dyDescent="0.2">
      <c r="A43" s="40"/>
      <c r="B43" s="2"/>
      <c r="C43" s="79"/>
      <c r="D43" s="76"/>
      <c r="E43" s="76"/>
      <c r="F43" s="535"/>
      <c r="G43" s="76"/>
      <c r="H43" s="200"/>
      <c r="I43" s="40"/>
    </row>
    <row r="44" spans="1:11" x14ac:dyDescent="0.2">
      <c r="A44" s="40"/>
      <c r="B44" s="49"/>
      <c r="C44" s="49"/>
      <c r="D44" s="42"/>
      <c r="E44" s="42"/>
      <c r="F44" s="43"/>
      <c r="G44" s="42"/>
      <c r="H44" s="42"/>
      <c r="I44" s="40"/>
    </row>
    <row r="45" spans="1:11" ht="25.5" x14ac:dyDescent="0.2">
      <c r="A45" s="40"/>
      <c r="B45" s="79" t="s">
        <v>145</v>
      </c>
      <c r="C45" s="79" t="s">
        <v>34</v>
      </c>
      <c r="D45" s="87" t="s">
        <v>4</v>
      </c>
      <c r="E45" s="87" t="s">
        <v>3</v>
      </c>
      <c r="F45" s="77" t="s">
        <v>0</v>
      </c>
      <c r="G45" s="80" t="s">
        <v>33</v>
      </c>
      <c r="H45" s="48" t="s">
        <v>2</v>
      </c>
      <c r="I45" s="40"/>
    </row>
    <row r="46" spans="1:11" x14ac:dyDescent="0.2">
      <c r="A46" s="40"/>
      <c r="B46" s="72" t="s">
        <v>46</v>
      </c>
      <c r="C46" s="79"/>
      <c r="D46" s="523">
        <f>((((Abmessungen!B43+Abmessungen!B44)/2)*Abmessungen!B28*4)/10000)-4</f>
        <v>65.284999999999997</v>
      </c>
      <c r="E46" s="87"/>
      <c r="F46" s="77"/>
      <c r="G46" s="80"/>
      <c r="H46" s="48"/>
      <c r="I46" s="2"/>
    </row>
    <row r="47" spans="1:11" x14ac:dyDescent="0.2">
      <c r="A47" s="40"/>
      <c r="B47" s="72" t="str">
        <f>Gewichte!B106</f>
        <v>Grundierung Spannlack, verdünnt, 2 x</v>
      </c>
      <c r="C47" s="79"/>
      <c r="D47" s="539">
        <f>C10*2</f>
        <v>68.426700000000011</v>
      </c>
      <c r="E47" s="540">
        <f>Gewichte!C105</f>
        <v>0.1</v>
      </c>
      <c r="F47" s="517">
        <f>D46*E47</f>
        <v>6.5285000000000002</v>
      </c>
      <c r="G47" s="525">
        <v>150</v>
      </c>
      <c r="H47" s="204">
        <f>F47*G47</f>
        <v>979.27499999999998</v>
      </c>
      <c r="I47" s="511"/>
    </row>
    <row r="48" spans="1:11" x14ac:dyDescent="0.2">
      <c r="A48" s="40"/>
      <c r="B48" s="72" t="str">
        <f>Gewichte!B116</f>
        <v>Polyspan</v>
      </c>
      <c r="C48" s="79"/>
      <c r="D48" s="237">
        <v>35.200000000000003</v>
      </c>
      <c r="E48" s="540">
        <f>Gewichte!C115</f>
        <v>0.2</v>
      </c>
      <c r="F48" s="517">
        <f>D48*E48</f>
        <v>7.0400000000000009</v>
      </c>
      <c r="G48" s="525">
        <v>150</v>
      </c>
      <c r="H48" s="204">
        <f>F48*G48</f>
        <v>1056.0000000000002</v>
      </c>
      <c r="I48" s="511"/>
    </row>
    <row r="49" spans="1:13" x14ac:dyDescent="0.2">
      <c r="A49" s="40"/>
      <c r="B49" s="541" t="str">
        <f>Gewichte!B119</f>
        <v>Silkspan light BH-916 (2015) plus 4 Anstr. Spl.</v>
      </c>
      <c r="C49" s="72"/>
      <c r="D49" s="542">
        <f>C10*2</f>
        <v>68.426700000000011</v>
      </c>
      <c r="E49" s="543">
        <f>Gewichte!C118</f>
        <v>0.4</v>
      </c>
      <c r="F49" s="516">
        <f>D49*E49</f>
        <v>27.370680000000007</v>
      </c>
      <c r="G49" s="525">
        <v>150</v>
      </c>
      <c r="H49" s="50">
        <f>F49*G49</f>
        <v>4105.6020000000008</v>
      </c>
      <c r="I49" s="511"/>
      <c r="J49" s="2"/>
      <c r="K49" s="127"/>
    </row>
    <row r="50" spans="1:13" x14ac:dyDescent="0.2">
      <c r="A50" s="40"/>
      <c r="B50" s="72" t="str">
        <f>Gewichte!B127</f>
        <v>Basislacke und 2 k-Klarlack</v>
      </c>
      <c r="C50" s="72"/>
      <c r="D50" s="544">
        <f>D46</f>
        <v>65.284999999999997</v>
      </c>
      <c r="E50" s="543">
        <f>Gewichte!C126</f>
        <v>0.89999999999999991</v>
      </c>
      <c r="F50" s="516">
        <f>D50*E50</f>
        <v>58.756499999999988</v>
      </c>
      <c r="G50" s="525">
        <v>150</v>
      </c>
      <c r="H50" s="50">
        <f>F50*G50</f>
        <v>8813.4749999999985</v>
      </c>
      <c r="I50" s="40"/>
      <c r="K50" s="127"/>
    </row>
    <row r="51" spans="1:13" x14ac:dyDescent="0.2">
      <c r="A51" s="40"/>
      <c r="B51" s="72"/>
      <c r="C51" s="72"/>
      <c r="D51" s="199"/>
      <c r="E51" s="104"/>
      <c r="F51" s="256"/>
      <c r="G51" s="86"/>
      <c r="H51" s="50"/>
      <c r="I51" s="40"/>
      <c r="K51" s="127"/>
    </row>
    <row r="52" spans="1:13" x14ac:dyDescent="0.2">
      <c r="A52" s="40"/>
      <c r="B52" s="79" t="s">
        <v>153</v>
      </c>
      <c r="C52" s="72"/>
      <c r="D52" s="199"/>
      <c r="E52" s="104"/>
      <c r="F52" s="528">
        <f>F47+F48+F49+F50</f>
        <v>99.695679999999996</v>
      </c>
      <c r="G52" s="86"/>
      <c r="H52" s="50"/>
      <c r="I52" s="40"/>
      <c r="K52" s="127"/>
    </row>
    <row r="53" spans="1:13" x14ac:dyDescent="0.2">
      <c r="A53" s="40"/>
      <c r="B53" s="72"/>
      <c r="C53" s="72"/>
      <c r="D53" s="199"/>
      <c r="E53" s="104"/>
      <c r="F53" s="199"/>
      <c r="G53" s="2"/>
      <c r="I53" s="40"/>
      <c r="K53" s="127"/>
    </row>
    <row r="54" spans="1:13" x14ac:dyDescent="0.2">
      <c r="A54" s="40"/>
      <c r="B54" s="79"/>
      <c r="C54" s="545"/>
      <c r="D54" s="256"/>
      <c r="E54" s="104"/>
      <c r="F54" s="86"/>
      <c r="G54" s="86"/>
      <c r="H54" s="38"/>
      <c r="I54" s="40"/>
      <c r="K54" s="130"/>
      <c r="M54" s="29"/>
    </row>
    <row r="55" spans="1:13" x14ac:dyDescent="0.2">
      <c r="A55" s="40"/>
      <c r="B55" s="72"/>
      <c r="C55" s="72"/>
      <c r="D55" s="76"/>
      <c r="E55" s="76"/>
      <c r="F55" s="546"/>
      <c r="G55" s="76"/>
      <c r="H55" s="42"/>
      <c r="I55" s="40"/>
    </row>
    <row r="56" spans="1:13" x14ac:dyDescent="0.2">
      <c r="A56" s="40"/>
      <c r="B56" s="79" t="s">
        <v>251</v>
      </c>
      <c r="C56" s="79"/>
      <c r="D56" s="77"/>
      <c r="E56" s="76"/>
      <c r="F56" s="532">
        <f>F42+F52</f>
        <v>402.89567999999997</v>
      </c>
      <c r="G56" s="200"/>
      <c r="H56" s="50">
        <f>H42+H47+H48+H49+H50</f>
        <v>58952.851999999999</v>
      </c>
      <c r="I56" s="56"/>
    </row>
    <row r="57" spans="1:13" x14ac:dyDescent="0.2">
      <c r="A57" s="40"/>
      <c r="B57" s="72" t="s">
        <v>128</v>
      </c>
      <c r="C57" s="79"/>
      <c r="D57" s="77"/>
      <c r="E57" s="76"/>
      <c r="F57" s="535"/>
      <c r="G57" s="528">
        <f>H56/F56</f>
        <v>146.32286948323696</v>
      </c>
      <c r="H57" s="42"/>
      <c r="I57" s="56"/>
    </row>
    <row r="58" spans="1:13" x14ac:dyDescent="0.2">
      <c r="A58" s="40"/>
      <c r="B58" s="72" t="s">
        <v>196</v>
      </c>
      <c r="C58" s="72"/>
      <c r="D58" s="76"/>
      <c r="E58" s="76"/>
      <c r="F58" s="76"/>
      <c r="G58" s="528">
        <f>Abmessungen!B21+G57</f>
        <v>421.32286948323696</v>
      </c>
      <c r="H58" s="50">
        <f>F56*G58</f>
        <v>169749.16399999999</v>
      </c>
      <c r="I58" s="40"/>
    </row>
    <row r="59" spans="1:13" x14ac:dyDescent="0.2">
      <c r="A59" s="40"/>
      <c r="B59" s="49"/>
      <c r="C59" s="49"/>
      <c r="D59" s="42"/>
      <c r="E59" s="42"/>
      <c r="F59" s="42"/>
      <c r="G59" s="42"/>
      <c r="H59" s="42"/>
      <c r="I59" s="40"/>
    </row>
    <row r="60" spans="1:13" x14ac:dyDescent="0.2">
      <c r="A60" s="40"/>
      <c r="B60" s="57"/>
      <c r="C60" s="57"/>
      <c r="D60" s="40"/>
      <c r="E60" s="40"/>
      <c r="F60" s="40"/>
      <c r="G60" s="40"/>
      <c r="H60" s="40"/>
      <c r="I60" s="40"/>
    </row>
    <row r="61" spans="1:13" ht="15.75" x14ac:dyDescent="0.25">
      <c r="A61" s="40"/>
      <c r="B61" s="58" t="s">
        <v>35</v>
      </c>
      <c r="C61" s="70"/>
      <c r="D61" s="42"/>
      <c r="E61" s="42"/>
      <c r="F61" s="513">
        <f>F11</f>
        <v>44096</v>
      </c>
      <c r="G61" s="42"/>
      <c r="H61" s="231"/>
      <c r="I61" s="40"/>
    </row>
    <row r="62" spans="1:13" x14ac:dyDescent="0.2">
      <c r="A62" s="40"/>
      <c r="B62" s="49" t="s">
        <v>36</v>
      </c>
      <c r="C62" s="522">
        <f>Abmessungen!B14</f>
        <v>7.7116500000000006</v>
      </c>
      <c r="D62" s="42"/>
      <c r="E62" s="42"/>
      <c r="F62" s="43"/>
      <c r="G62" s="43"/>
      <c r="H62" s="42"/>
      <c r="I62" s="40"/>
    </row>
    <row r="63" spans="1:13" x14ac:dyDescent="0.2">
      <c r="A63" s="40"/>
      <c r="B63" s="136" t="s">
        <v>200</v>
      </c>
      <c r="C63" s="42"/>
      <c r="D63" s="42"/>
      <c r="E63" s="42"/>
      <c r="F63" s="43"/>
      <c r="G63" s="43"/>
      <c r="H63" s="42"/>
      <c r="I63" s="40"/>
    </row>
    <row r="64" spans="1:13" x14ac:dyDescent="0.2">
      <c r="A64" s="40"/>
      <c r="B64" s="46"/>
      <c r="C64" s="46"/>
      <c r="D64" s="43"/>
      <c r="E64" s="43"/>
      <c r="F64" s="43"/>
      <c r="G64" s="43"/>
      <c r="H64" s="42"/>
      <c r="I64" s="40"/>
      <c r="K64" s="149"/>
    </row>
    <row r="65" spans="1:10" ht="38.25" x14ac:dyDescent="0.2">
      <c r="A65" s="40"/>
      <c r="B65" s="49"/>
      <c r="C65" s="49"/>
      <c r="D65" s="46" t="s">
        <v>79</v>
      </c>
      <c r="E65" s="46" t="s">
        <v>30</v>
      </c>
      <c r="F65" s="46" t="s">
        <v>0</v>
      </c>
      <c r="G65" s="47" t="s">
        <v>78</v>
      </c>
      <c r="H65" s="48" t="s">
        <v>2</v>
      </c>
      <c r="I65" s="40"/>
    </row>
    <row r="66" spans="1:10" x14ac:dyDescent="0.2">
      <c r="A66" s="40"/>
      <c r="B66" s="49"/>
      <c r="C66" s="49"/>
      <c r="D66" s="42"/>
      <c r="E66" s="42"/>
      <c r="F66" s="42"/>
      <c r="G66" s="42"/>
      <c r="H66" s="42"/>
      <c r="I66" s="40"/>
    </row>
    <row r="67" spans="1:10" x14ac:dyDescent="0.2">
      <c r="A67" s="40"/>
      <c r="B67" s="72" t="s">
        <v>235</v>
      </c>
      <c r="C67" s="49"/>
      <c r="D67" s="179">
        <v>2</v>
      </c>
      <c r="E67" s="155">
        <v>2</v>
      </c>
      <c r="F67" s="516">
        <f t="shared" ref="F67:F71" si="2">D67*E67</f>
        <v>4</v>
      </c>
      <c r="G67" s="236">
        <v>20</v>
      </c>
      <c r="H67" s="50">
        <v>35</v>
      </c>
      <c r="I67" s="40"/>
    </row>
    <row r="68" spans="1:10" x14ac:dyDescent="0.2">
      <c r="A68" s="40"/>
      <c r="B68" s="72" t="s">
        <v>574</v>
      </c>
      <c r="C68" s="49"/>
      <c r="D68" s="179">
        <v>2</v>
      </c>
      <c r="E68" s="155">
        <v>5</v>
      </c>
      <c r="F68" s="516">
        <f>D68*E68</f>
        <v>10</v>
      </c>
      <c r="G68" s="236">
        <v>10</v>
      </c>
      <c r="H68" s="50">
        <f>F68*G68</f>
        <v>100</v>
      </c>
      <c r="I68" s="40"/>
    </row>
    <row r="69" spans="1:10" x14ac:dyDescent="0.2">
      <c r="A69" s="40"/>
      <c r="B69" s="72" t="s">
        <v>573</v>
      </c>
      <c r="C69" s="49"/>
      <c r="D69" s="179">
        <v>2</v>
      </c>
      <c r="E69" s="155">
        <v>5</v>
      </c>
      <c r="F69" s="516">
        <f>D69+E69</f>
        <v>7</v>
      </c>
      <c r="G69" s="236">
        <v>55</v>
      </c>
      <c r="H69" s="50">
        <f>F69*G69</f>
        <v>385</v>
      </c>
      <c r="I69" s="40"/>
    </row>
    <row r="70" spans="1:10" x14ac:dyDescent="0.2">
      <c r="A70" s="40"/>
      <c r="B70" s="72" t="s">
        <v>168</v>
      </c>
      <c r="C70" s="49"/>
      <c r="D70" s="518">
        <f>Abmessungen!B14*2</f>
        <v>15.423300000000001</v>
      </c>
      <c r="E70" s="155">
        <v>1.8</v>
      </c>
      <c r="F70" s="516">
        <f t="shared" si="2"/>
        <v>27.761940000000003</v>
      </c>
      <c r="G70" s="236">
        <v>30</v>
      </c>
      <c r="H70" s="50">
        <f t="shared" ref="H70:H71" si="3">F70*G70</f>
        <v>832.85820000000012</v>
      </c>
      <c r="I70" s="40"/>
    </row>
    <row r="71" spans="1:10" x14ac:dyDescent="0.2">
      <c r="A71" s="40"/>
      <c r="B71" s="72" t="s">
        <v>575</v>
      </c>
      <c r="C71" s="49"/>
      <c r="D71" s="179">
        <v>2</v>
      </c>
      <c r="E71" s="155">
        <v>7</v>
      </c>
      <c r="F71" s="516">
        <f t="shared" si="2"/>
        <v>14</v>
      </c>
      <c r="G71" s="236">
        <v>30</v>
      </c>
      <c r="H71" s="50">
        <f t="shared" si="3"/>
        <v>420</v>
      </c>
      <c r="I71" s="40"/>
    </row>
    <row r="72" spans="1:10" x14ac:dyDescent="0.2">
      <c r="A72" s="40"/>
      <c r="B72" s="49"/>
      <c r="C72" s="49"/>
      <c r="D72" s="86"/>
      <c r="E72" s="199"/>
      <c r="F72" s="256"/>
      <c r="G72" s="92"/>
      <c r="H72" s="50"/>
      <c r="I72" s="40"/>
    </row>
    <row r="73" spans="1:10" x14ac:dyDescent="0.2">
      <c r="A73" s="40"/>
      <c r="B73" s="46" t="s">
        <v>26</v>
      </c>
      <c r="C73" s="46"/>
      <c r="D73" s="76"/>
      <c r="E73" s="76"/>
      <c r="F73" s="519">
        <f>SUM(F67:F71)</f>
        <v>62.761940000000003</v>
      </c>
      <c r="G73" s="520">
        <f>H73/F73</f>
        <v>28.247345445344742</v>
      </c>
      <c r="H73" s="59">
        <f>SUM(H67:H72)</f>
        <v>1772.8582000000001</v>
      </c>
      <c r="I73" s="40"/>
    </row>
    <row r="74" spans="1:10" ht="13.5" thickBot="1" x14ac:dyDescent="0.25">
      <c r="A74" s="40"/>
      <c r="B74" s="49" t="s">
        <v>31</v>
      </c>
      <c r="C74" s="49"/>
      <c r="D74" s="76"/>
      <c r="E74" s="76"/>
      <c r="F74" s="521">
        <v>-9</v>
      </c>
      <c r="G74" s="521">
        <v>30</v>
      </c>
      <c r="H74" s="51">
        <f>F74*G74</f>
        <v>-270</v>
      </c>
      <c r="I74" s="40"/>
    </row>
    <row r="75" spans="1:10" x14ac:dyDescent="0.2">
      <c r="A75" s="40"/>
      <c r="B75" s="49"/>
      <c r="C75" s="49"/>
      <c r="D75" s="42"/>
      <c r="E75" s="42"/>
      <c r="F75" s="52"/>
      <c r="G75" s="52"/>
      <c r="H75" s="59"/>
      <c r="I75" s="40"/>
    </row>
    <row r="76" spans="1:10" x14ac:dyDescent="0.2">
      <c r="A76" s="40"/>
      <c r="B76" s="70" t="s">
        <v>236</v>
      </c>
      <c r="C76" s="49"/>
      <c r="D76" s="42"/>
      <c r="E76" s="42"/>
      <c r="F76" s="516">
        <f>F73+F74</f>
        <v>53.761940000000003</v>
      </c>
      <c r="G76" s="528">
        <f>H76/F76</f>
        <v>27.953942882269502</v>
      </c>
      <c r="H76" s="50">
        <f>SUM(H73:H74)</f>
        <v>1502.8582000000001</v>
      </c>
      <c r="I76" s="40"/>
      <c r="J76" s="2"/>
    </row>
    <row r="77" spans="1:10" x14ac:dyDescent="0.2">
      <c r="A77" s="40"/>
      <c r="B77" s="49"/>
      <c r="C77" s="49"/>
      <c r="D77" s="42"/>
      <c r="E77" s="42"/>
      <c r="F77" s="42"/>
      <c r="G77" s="42"/>
      <c r="H77" s="42"/>
      <c r="I77" s="40"/>
    </row>
    <row r="78" spans="1:10" ht="25.5" x14ac:dyDescent="0.2">
      <c r="A78" s="40"/>
      <c r="B78" s="46" t="s">
        <v>145</v>
      </c>
      <c r="C78" s="46" t="s">
        <v>34</v>
      </c>
      <c r="D78" s="55" t="s">
        <v>4</v>
      </c>
      <c r="E78" s="55" t="s">
        <v>3</v>
      </c>
      <c r="F78" s="43" t="s">
        <v>0</v>
      </c>
      <c r="G78" s="47" t="s">
        <v>78</v>
      </c>
      <c r="H78" s="48" t="s">
        <v>2</v>
      </c>
      <c r="I78" s="40"/>
    </row>
    <row r="79" spans="1:10" x14ac:dyDescent="0.2">
      <c r="A79" s="40"/>
      <c r="B79" s="136" t="s">
        <v>46</v>
      </c>
      <c r="C79" s="46"/>
      <c r="D79" s="524">
        <f>C62*2</f>
        <v>15.423300000000001</v>
      </c>
      <c r="E79" s="55"/>
      <c r="F79" s="43"/>
      <c r="G79" s="47"/>
      <c r="H79" s="48"/>
      <c r="I79" s="40"/>
    </row>
    <row r="80" spans="1:10" x14ac:dyDescent="0.2">
      <c r="A80" s="40"/>
      <c r="B80" s="72" t="str">
        <f>Gewichte!B106</f>
        <v>Grundierung Spannlack, verdünnt, 2 x</v>
      </c>
      <c r="C80" s="46"/>
      <c r="D80" s="203"/>
      <c r="E80" s="207">
        <f>Gewichte!C105</f>
        <v>0.1</v>
      </c>
      <c r="F80" s="517">
        <f>D79*E80</f>
        <v>1.5423300000000002</v>
      </c>
      <c r="G80" s="525">
        <v>30</v>
      </c>
      <c r="H80" s="204">
        <f>F80*G80</f>
        <v>46.269900000000007</v>
      </c>
      <c r="I80" s="511"/>
    </row>
    <row r="81" spans="1:11" ht="13.5" customHeight="1" x14ac:dyDescent="0.2">
      <c r="A81" s="40"/>
      <c r="B81" s="72" t="str">
        <f>Gewichte!B119</f>
        <v>Silkspan light BH-916 (2015) plus 4 Anstr. Spl.</v>
      </c>
      <c r="C81" s="49"/>
      <c r="D81" s="132"/>
      <c r="E81" s="191">
        <f>Gewichte!C118</f>
        <v>0.4</v>
      </c>
      <c r="F81" s="516">
        <f>D79*E81</f>
        <v>6.1693200000000008</v>
      </c>
      <c r="G81" s="525">
        <v>30</v>
      </c>
      <c r="H81" s="50">
        <f>F81*G81</f>
        <v>185.07960000000003</v>
      </c>
      <c r="I81" s="40"/>
    </row>
    <row r="82" spans="1:11" x14ac:dyDescent="0.2">
      <c r="A82" s="40"/>
      <c r="B82" s="148" t="str">
        <f>Gewichte!B127</f>
        <v>Basislacke und 2 k-Klarlack</v>
      </c>
      <c r="C82" s="49"/>
      <c r="D82" s="132"/>
      <c r="E82" s="191">
        <f>Gewichte!C126</f>
        <v>0.89999999999999991</v>
      </c>
      <c r="F82" s="516">
        <f>D79*E82</f>
        <v>13.88097</v>
      </c>
      <c r="G82" s="525">
        <v>30</v>
      </c>
      <c r="H82" s="50">
        <f>F82*G82</f>
        <v>416.42910000000001</v>
      </c>
      <c r="I82" s="40"/>
    </row>
    <row r="83" spans="1:11" x14ac:dyDescent="0.2">
      <c r="A83" s="40"/>
      <c r="B83" s="49"/>
      <c r="C83" s="49"/>
      <c r="D83" s="132"/>
      <c r="E83" s="54"/>
      <c r="F83" s="132"/>
      <c r="G83" s="166"/>
      <c r="H83" s="50"/>
      <c r="I83" s="40"/>
    </row>
    <row r="84" spans="1:11" x14ac:dyDescent="0.2">
      <c r="A84" s="40"/>
      <c r="B84" s="70" t="s">
        <v>231</v>
      </c>
      <c r="C84" s="49"/>
      <c r="D84" s="132"/>
      <c r="E84" s="54"/>
      <c r="F84" s="516">
        <f>F81+F82</f>
        <v>20.05029</v>
      </c>
      <c r="G84" s="526"/>
      <c r="H84" s="50">
        <f>H81+H82</f>
        <v>601.50870000000009</v>
      </c>
      <c r="I84" s="40"/>
    </row>
    <row r="85" spans="1:11" x14ac:dyDescent="0.2">
      <c r="A85" s="40"/>
      <c r="B85" s="49"/>
      <c r="C85" s="128"/>
      <c r="D85" s="132"/>
      <c r="E85" s="54"/>
      <c r="F85" s="256"/>
      <c r="G85" s="86"/>
      <c r="H85" s="50"/>
      <c r="I85" s="40"/>
    </row>
    <row r="86" spans="1:11" x14ac:dyDescent="0.2">
      <c r="A86" s="40"/>
      <c r="B86" s="49"/>
      <c r="C86" s="49"/>
      <c r="D86" s="42"/>
      <c r="E86" s="42"/>
      <c r="F86" s="84"/>
      <c r="G86" s="76"/>
      <c r="H86" s="52"/>
      <c r="I86" s="40"/>
    </row>
    <row r="87" spans="1:11" x14ac:dyDescent="0.2">
      <c r="A87" s="40"/>
      <c r="B87" s="46" t="s">
        <v>152</v>
      </c>
      <c r="C87" s="46"/>
      <c r="D87" s="42"/>
      <c r="E87" s="42"/>
      <c r="F87" s="527">
        <f>F76+F84</f>
        <v>73.81223</v>
      </c>
      <c r="G87" s="92"/>
      <c r="H87" s="50">
        <f>H76+H84</f>
        <v>2104.3669</v>
      </c>
      <c r="I87" s="40"/>
    </row>
    <row r="88" spans="1:11" x14ac:dyDescent="0.2">
      <c r="A88" s="40"/>
      <c r="B88" s="49" t="s">
        <v>38</v>
      </c>
      <c r="C88" s="49"/>
      <c r="D88" s="42"/>
      <c r="E88" s="42"/>
      <c r="F88" s="77"/>
      <c r="G88" s="528">
        <f>(H76+H84)/F87</f>
        <v>28.509732059307787</v>
      </c>
      <c r="H88" s="50"/>
      <c r="I88" s="40"/>
      <c r="K88" s="3"/>
    </row>
    <row r="89" spans="1:11" x14ac:dyDescent="0.2">
      <c r="A89" s="40"/>
      <c r="B89" s="136" t="s">
        <v>199</v>
      </c>
      <c r="C89" s="49"/>
      <c r="D89" s="42"/>
      <c r="E89" s="42"/>
      <c r="F89" s="76"/>
      <c r="G89" s="528">
        <f>Abmessungen!B21+Abmessungen!B43+'Tragfläche &amp; Klappen'!G88</f>
        <v>575.50973205930779</v>
      </c>
      <c r="H89" s="50">
        <f>F87*G89</f>
        <v>42479.656710000003</v>
      </c>
      <c r="I89" s="40"/>
    </row>
    <row r="90" spans="1:11" ht="13.5" thickBot="1" x14ac:dyDescent="0.25">
      <c r="A90" s="40"/>
      <c r="B90" s="60"/>
      <c r="C90" s="60"/>
      <c r="D90" s="61"/>
      <c r="E90" s="61"/>
      <c r="F90" s="61"/>
      <c r="G90" s="61"/>
      <c r="H90" s="61"/>
      <c r="I90" s="40"/>
      <c r="K90" s="1"/>
    </row>
    <row r="91" spans="1:11" ht="15.75" x14ac:dyDescent="0.25">
      <c r="A91" s="40"/>
      <c r="B91" s="66" t="s">
        <v>272</v>
      </c>
      <c r="C91" s="529"/>
      <c r="D91" s="530"/>
      <c r="E91" s="530"/>
      <c r="F91" s="530"/>
      <c r="G91" s="531"/>
      <c r="H91" s="61"/>
      <c r="I91" s="40"/>
    </row>
    <row r="92" spans="1:11" x14ac:dyDescent="0.2">
      <c r="A92" s="40"/>
      <c r="B92" s="68" t="s">
        <v>0</v>
      </c>
      <c r="C92" s="79"/>
      <c r="D92" s="76"/>
      <c r="E92" s="76"/>
      <c r="F92" s="532">
        <f>F56+F87</f>
        <v>476.70790999999997</v>
      </c>
      <c r="G92" s="533"/>
      <c r="H92" s="61"/>
      <c r="I92" s="40"/>
    </row>
    <row r="93" spans="1:11" x14ac:dyDescent="0.2">
      <c r="A93" s="40"/>
      <c r="B93" s="67" t="s">
        <v>39</v>
      </c>
      <c r="C93" s="534">
        <f>C10+C62</f>
        <v>41.925000000000004</v>
      </c>
      <c r="D93" s="76"/>
      <c r="E93" s="76"/>
      <c r="F93" s="535"/>
      <c r="G93" s="533"/>
      <c r="H93" s="61"/>
      <c r="I93" s="40"/>
    </row>
    <row r="94" spans="1:11" x14ac:dyDescent="0.2">
      <c r="A94" s="40"/>
      <c r="B94" s="67" t="s">
        <v>40</v>
      </c>
      <c r="C94" s="536">
        <f>(C93/6.452)*100</f>
        <v>649.79851208927471</v>
      </c>
      <c r="D94" s="76"/>
      <c r="E94" s="76"/>
      <c r="F94" s="535"/>
      <c r="G94" s="533"/>
      <c r="H94" s="61"/>
      <c r="I94" s="40"/>
    </row>
    <row r="95" spans="1:11" x14ac:dyDescent="0.2">
      <c r="A95" s="40"/>
      <c r="B95" s="67" t="s">
        <v>41</v>
      </c>
      <c r="C95" s="536">
        <f>F92/C93</f>
        <v>11.370492784734644</v>
      </c>
      <c r="D95" s="76"/>
      <c r="E95" s="76"/>
      <c r="F95" s="535"/>
      <c r="G95" s="533"/>
      <c r="H95" s="61"/>
      <c r="I95" s="40"/>
    </row>
    <row r="96" spans="1:11" ht="13.5" thickBot="1" x14ac:dyDescent="0.25">
      <c r="A96" s="40"/>
      <c r="B96" s="161" t="s">
        <v>197</v>
      </c>
      <c r="C96" s="537"/>
      <c r="D96" s="537"/>
      <c r="E96" s="537"/>
      <c r="F96" s="537"/>
      <c r="G96" s="538">
        <f>(H58+H89)/F92</f>
        <v>445.19676778595937</v>
      </c>
      <c r="H96" s="61"/>
      <c r="I96" s="40"/>
    </row>
    <row r="97" spans="1:15" x14ac:dyDescent="0.2">
      <c r="A97" s="40"/>
      <c r="B97" s="40"/>
      <c r="C97" s="40"/>
      <c r="D97" s="40"/>
      <c r="E97" s="40"/>
      <c r="F97" s="40"/>
      <c r="G97" s="40"/>
      <c r="H97" s="40"/>
      <c r="I97" s="40"/>
    </row>
    <row r="98" spans="1:15" x14ac:dyDescent="0.2">
      <c r="A98" s="40"/>
      <c r="I98" s="40"/>
      <c r="N98" s="1"/>
    </row>
    <row r="99" spans="1:15" x14ac:dyDescent="0.2">
      <c r="A99" s="40"/>
      <c r="I99" s="40"/>
      <c r="N99" s="1"/>
    </row>
    <row r="100" spans="1:15" x14ac:dyDescent="0.2">
      <c r="N100" s="1"/>
    </row>
    <row r="105" spans="1:15" x14ac:dyDescent="0.2">
      <c r="K105" s="1"/>
      <c r="N105" s="1"/>
      <c r="O105" s="21"/>
    </row>
    <row r="106" spans="1:15" x14ac:dyDescent="0.2">
      <c r="N106" s="1"/>
    </row>
    <row r="107" spans="1:15" x14ac:dyDescent="0.2">
      <c r="N107" s="1"/>
    </row>
    <row r="108" spans="1:15" x14ac:dyDescent="0.2">
      <c r="K108" s="26"/>
    </row>
    <row r="110" spans="1:15" x14ac:dyDescent="0.2">
      <c r="N110" s="1"/>
    </row>
    <row r="111" spans="1:15" x14ac:dyDescent="0.2">
      <c r="N111" s="1"/>
    </row>
    <row r="112" spans="1:15" x14ac:dyDescent="0.2">
      <c r="M112" s="1"/>
      <c r="N112" s="1"/>
    </row>
    <row r="115" spans="11:15" x14ac:dyDescent="0.2">
      <c r="K115" s="1"/>
      <c r="O115" s="23"/>
    </row>
    <row r="116" spans="11:15" x14ac:dyDescent="0.2">
      <c r="K116" s="1"/>
      <c r="O116" s="23"/>
    </row>
  </sheetData>
  <mergeCells count="1">
    <mergeCell ref="C9:G9"/>
  </mergeCells>
  <phoneticPr fontId="1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topLeftCell="A31" zoomScale="95" zoomScaleNormal="95" workbookViewId="0">
      <selection activeCell="B51" sqref="B51"/>
    </sheetView>
  </sheetViews>
  <sheetFormatPr baseColWidth="10" defaultRowHeight="12.75" x14ac:dyDescent="0.2"/>
  <cols>
    <col min="1" max="1" width="56.140625" customWidth="1"/>
    <col min="2" max="2" width="12.42578125" style="40" customWidth="1"/>
    <col min="3" max="3" width="11.5703125" style="477" customWidth="1"/>
    <col min="4" max="4" width="6.28515625" customWidth="1"/>
    <col min="5" max="5" width="40.7109375" customWidth="1"/>
    <col min="6" max="6" width="15.28515625" customWidth="1"/>
    <col min="7" max="7" width="27.42578125" customWidth="1"/>
    <col min="8" max="8" width="28.5703125" customWidth="1"/>
  </cols>
  <sheetData>
    <row r="2" spans="1:8" x14ac:dyDescent="0.2">
      <c r="A2" s="39" t="s">
        <v>75</v>
      </c>
      <c r="B2" s="62" t="s">
        <v>86</v>
      </c>
      <c r="C2" s="471"/>
    </row>
    <row r="3" spans="1:8" x14ac:dyDescent="0.2">
      <c r="A3" s="42" t="s">
        <v>76</v>
      </c>
      <c r="B3" s="64"/>
    </row>
    <row r="4" spans="1:8" x14ac:dyDescent="0.2">
      <c r="A4" s="38" t="s">
        <v>80</v>
      </c>
      <c r="B4" s="38"/>
    </row>
    <row r="5" spans="1:8" x14ac:dyDescent="0.2">
      <c r="A5" s="39" t="s">
        <v>90</v>
      </c>
      <c r="B5" s="116"/>
    </row>
    <row r="6" spans="1:8" x14ac:dyDescent="0.2">
      <c r="A6" s="89" t="s">
        <v>89</v>
      </c>
      <c r="B6" s="114"/>
    </row>
    <row r="7" spans="1:8" x14ac:dyDescent="0.2">
      <c r="A7" s="121"/>
      <c r="B7" s="102"/>
    </row>
    <row r="8" spans="1:8" ht="15.75" x14ac:dyDescent="0.25">
      <c r="A8" s="150" t="str">
        <f>Schwerpunktrechnung!B2</f>
        <v>Fiat C. 29</v>
      </c>
      <c r="B8" s="502">
        <f>Schwerpunktrechnung!E2</f>
        <v>44096</v>
      </c>
    </row>
    <row r="10" spans="1:8" ht="41.25" customHeight="1" x14ac:dyDescent="0.25">
      <c r="A10" s="103" t="s">
        <v>81</v>
      </c>
      <c r="B10" s="61"/>
      <c r="C10" s="186"/>
      <c r="E10" s="497"/>
      <c r="F10" s="498"/>
      <c r="G10" s="498"/>
      <c r="H10" s="497"/>
    </row>
    <row r="11" spans="1:8" ht="13.5" thickBot="1" x14ac:dyDescent="0.25">
      <c r="A11" s="8"/>
      <c r="B11" s="121" t="s">
        <v>530</v>
      </c>
      <c r="C11" s="504" t="s">
        <v>427</v>
      </c>
      <c r="E11" s="3"/>
      <c r="F11" s="3"/>
      <c r="G11" s="3"/>
      <c r="H11" s="3"/>
    </row>
    <row r="12" spans="1:8" ht="13.5" thickBot="1" x14ac:dyDescent="0.25">
      <c r="A12" s="104" t="s">
        <v>23</v>
      </c>
      <c r="B12" s="516">
        <f>((B41+B42)/2)*B26*0.0001</f>
        <v>41.925000000000004</v>
      </c>
      <c r="C12" s="186"/>
      <c r="E12" s="389" t="s">
        <v>623</v>
      </c>
      <c r="F12" s="463" t="str">
        <f>Schwerpunktrechnung!B2</f>
        <v>Fiat C. 29</v>
      </c>
      <c r="G12" s="486">
        <f>Schwerpunktrechnung!E2</f>
        <v>44096</v>
      </c>
      <c r="H12" s="406"/>
    </row>
    <row r="13" spans="1:8" x14ac:dyDescent="0.2">
      <c r="A13" s="104" t="s">
        <v>104</v>
      </c>
      <c r="B13" s="528">
        <f>B12/Gewichte!C144</f>
        <v>650</v>
      </c>
      <c r="C13" s="186"/>
      <c r="E13" s="94"/>
      <c r="F13" s="181" t="s">
        <v>333</v>
      </c>
      <c r="G13" s="38"/>
      <c r="H13" s="406"/>
    </row>
    <row r="14" spans="1:8" x14ac:dyDescent="0.2">
      <c r="A14" s="104" t="s">
        <v>24</v>
      </c>
      <c r="B14" s="516">
        <f>((0.5*(B46+B47)*B50)+(0.5*(B46+B48)*B49))*0.0001</f>
        <v>7.7116500000000006</v>
      </c>
      <c r="C14" s="186"/>
      <c r="E14" s="484" t="s">
        <v>459</v>
      </c>
      <c r="F14" s="489">
        <f>Schwerpunktrechnung!C35</f>
        <v>1824.28243</v>
      </c>
      <c r="G14" s="38"/>
      <c r="H14" s="406"/>
    </row>
    <row r="15" spans="1:8" x14ac:dyDescent="0.2">
      <c r="A15" s="104" t="s">
        <v>11</v>
      </c>
      <c r="B15" s="579">
        <f>B14/B12</f>
        <v>0.1839391771019678</v>
      </c>
      <c r="C15" s="473"/>
      <c r="E15" s="76" t="s">
        <v>467</v>
      </c>
      <c r="F15" s="492">
        <f>'Daten und Rechnungen'!C21</f>
        <v>5.15</v>
      </c>
      <c r="G15" s="38"/>
      <c r="H15" s="3"/>
    </row>
    <row r="16" spans="1:8" x14ac:dyDescent="0.2">
      <c r="A16" s="104" t="s">
        <v>21</v>
      </c>
      <c r="B16" s="581">
        <f>((B63+B64)/2)*B54*0.0001</f>
        <v>8.6189999999999998</v>
      </c>
      <c r="C16" s="473"/>
      <c r="E16" s="38"/>
      <c r="F16" s="38"/>
      <c r="G16" s="38"/>
      <c r="H16" s="3"/>
    </row>
    <row r="17" spans="1:8" x14ac:dyDescent="0.2">
      <c r="A17" s="104" t="s">
        <v>97</v>
      </c>
      <c r="B17" s="581">
        <f>((B66+B68)/2)*B69*2*0.0001</f>
        <v>4.9275000000000002</v>
      </c>
      <c r="C17" s="473"/>
      <c r="E17" s="77" t="s">
        <v>28</v>
      </c>
      <c r="F17" s="38"/>
      <c r="G17" s="76" t="s">
        <v>427</v>
      </c>
      <c r="H17" s="3"/>
    </row>
    <row r="18" spans="1:8" x14ac:dyDescent="0.2">
      <c r="A18" s="104" t="s">
        <v>22</v>
      </c>
      <c r="B18" s="581">
        <f>B16+B17</f>
        <v>13.5465</v>
      </c>
      <c r="C18" s="473"/>
      <c r="E18" s="76" t="s">
        <v>439</v>
      </c>
      <c r="F18" s="489">
        <f>B26</f>
        <v>1500</v>
      </c>
      <c r="G18" s="38"/>
      <c r="H18" s="3"/>
    </row>
    <row r="19" spans="1:8" x14ac:dyDescent="0.2">
      <c r="A19" s="104" t="s">
        <v>13</v>
      </c>
      <c r="B19" s="579">
        <f>B17/B18</f>
        <v>0.36374709334514455</v>
      </c>
      <c r="C19" s="473"/>
      <c r="E19" s="76" t="s">
        <v>440</v>
      </c>
      <c r="F19" s="491">
        <f>Abmessungen!B12</f>
        <v>41.925000000000004</v>
      </c>
      <c r="G19" s="499"/>
      <c r="H19" s="3"/>
    </row>
    <row r="20" spans="1:8" x14ac:dyDescent="0.2">
      <c r="A20" s="104" t="s">
        <v>12</v>
      </c>
      <c r="B20" s="579">
        <f>B18/B12</f>
        <v>0.32311270125223612</v>
      </c>
      <c r="C20" s="473"/>
      <c r="E20" s="76" t="s">
        <v>441</v>
      </c>
      <c r="F20" s="489">
        <f>B27</f>
        <v>755</v>
      </c>
      <c r="G20" s="38"/>
      <c r="H20" s="3"/>
    </row>
    <row r="21" spans="1:8" x14ac:dyDescent="0.2">
      <c r="A21" s="104" t="s">
        <v>125</v>
      </c>
      <c r="B21" s="235">
        <v>275</v>
      </c>
      <c r="C21" s="472">
        <v>298</v>
      </c>
      <c r="D21" s="501"/>
      <c r="E21" s="76" t="s">
        <v>444</v>
      </c>
      <c r="F21" s="489">
        <f>B28</f>
        <v>745</v>
      </c>
      <c r="G21" s="38"/>
      <c r="H21" s="3"/>
    </row>
    <row r="22" spans="1:8" x14ac:dyDescent="0.2">
      <c r="A22" s="104" t="s">
        <v>5</v>
      </c>
      <c r="B22" s="235">
        <v>475</v>
      </c>
      <c r="C22" s="473">
        <v>475</v>
      </c>
      <c r="E22" s="76" t="s">
        <v>457</v>
      </c>
      <c r="F22" s="489">
        <f>B37</f>
        <v>19</v>
      </c>
      <c r="G22" s="38"/>
      <c r="H22" s="3"/>
    </row>
    <row r="23" spans="1:8" x14ac:dyDescent="0.2">
      <c r="A23" s="104" t="s">
        <v>108</v>
      </c>
      <c r="B23" s="528">
        <f>(2*B12)+(2*B18)+B83+B87</f>
        <v>149.33180000000002</v>
      </c>
      <c r="C23" s="186"/>
      <c r="E23" s="76" t="s">
        <v>468</v>
      </c>
      <c r="F23" s="489">
        <f>B35</f>
        <v>182</v>
      </c>
      <c r="G23" s="38"/>
      <c r="H23" s="3"/>
    </row>
    <row r="24" spans="1:8" x14ac:dyDescent="0.2">
      <c r="A24" s="5"/>
      <c r="B24" s="61"/>
      <c r="C24" s="186"/>
      <c r="H24" s="3"/>
    </row>
    <row r="25" spans="1:8" x14ac:dyDescent="0.2">
      <c r="A25" s="77" t="s">
        <v>6</v>
      </c>
      <c r="B25" s="42"/>
      <c r="C25" s="478"/>
      <c r="E25" s="219" t="s">
        <v>14</v>
      </c>
      <c r="F25" s="110"/>
      <c r="G25" s="76" t="s">
        <v>427</v>
      </c>
      <c r="H25" s="3"/>
    </row>
    <row r="26" spans="1:8" x14ac:dyDescent="0.2">
      <c r="A26" s="38" t="s">
        <v>7</v>
      </c>
      <c r="B26" s="528">
        <f>B28+B27</f>
        <v>1500</v>
      </c>
      <c r="C26" s="186"/>
      <c r="E26" s="76" t="s">
        <v>445</v>
      </c>
      <c r="F26" s="492">
        <f>B18</f>
        <v>13.5465</v>
      </c>
      <c r="G26" s="38"/>
      <c r="H26" s="3"/>
    </row>
    <row r="27" spans="1:8" x14ac:dyDescent="0.2">
      <c r="A27" s="76" t="s">
        <v>232</v>
      </c>
      <c r="B27" s="233">
        <v>755</v>
      </c>
      <c r="C27" s="186">
        <v>755</v>
      </c>
      <c r="E27" s="76" t="s">
        <v>439</v>
      </c>
      <c r="F27" s="489">
        <f>B54</f>
        <v>780</v>
      </c>
      <c r="G27" s="38"/>
      <c r="H27" s="3"/>
    </row>
    <row r="28" spans="1:8" x14ac:dyDescent="0.2">
      <c r="A28" s="76" t="s">
        <v>233</v>
      </c>
      <c r="B28" s="233">
        <v>745</v>
      </c>
      <c r="C28" s="186">
        <v>745</v>
      </c>
      <c r="E28" s="76" t="s">
        <v>442</v>
      </c>
      <c r="F28" s="492">
        <f>B18</f>
        <v>13.5465</v>
      </c>
      <c r="G28" s="38"/>
      <c r="H28" s="3"/>
    </row>
    <row r="29" spans="1:8" x14ac:dyDescent="0.2">
      <c r="A29" s="76" t="s">
        <v>188</v>
      </c>
      <c r="B29" s="518">
        <f>B43-B44</f>
        <v>79</v>
      </c>
      <c r="C29" s="474">
        <v>77</v>
      </c>
      <c r="E29" s="76" t="s">
        <v>448</v>
      </c>
      <c r="F29" s="489">
        <f>B55</f>
        <v>9.2682926829268304</v>
      </c>
      <c r="G29" s="38"/>
      <c r="H29" s="3"/>
    </row>
    <row r="30" spans="1:8" x14ac:dyDescent="0.2">
      <c r="A30" s="76" t="s">
        <v>189</v>
      </c>
      <c r="B30" s="233">
        <v>0</v>
      </c>
      <c r="C30" s="186"/>
      <c r="E30" s="76" t="s">
        <v>452</v>
      </c>
      <c r="F30" s="493" t="str">
        <f>Abmessungen!B65</f>
        <v>-1°</v>
      </c>
      <c r="G30" s="76"/>
      <c r="H30" s="3"/>
    </row>
    <row r="31" spans="1:8" x14ac:dyDescent="0.2">
      <c r="A31" s="76" t="s">
        <v>227</v>
      </c>
      <c r="B31" s="233">
        <v>13</v>
      </c>
      <c r="C31" s="186"/>
      <c r="E31" s="76" t="s">
        <v>594</v>
      </c>
      <c r="F31" s="489">
        <f>B74</f>
        <v>20</v>
      </c>
      <c r="G31" s="38"/>
      <c r="H31" s="3"/>
    </row>
    <row r="32" spans="1:8" x14ac:dyDescent="0.2">
      <c r="A32" s="76" t="s">
        <v>228</v>
      </c>
      <c r="B32" s="233">
        <v>40</v>
      </c>
      <c r="C32" s="186"/>
      <c r="H32" s="3"/>
    </row>
    <row r="33" spans="1:8" x14ac:dyDescent="0.2">
      <c r="A33" s="76" t="s">
        <v>325</v>
      </c>
      <c r="B33" s="311">
        <v>62.726999999999997</v>
      </c>
      <c r="C33" s="186"/>
      <c r="E33" s="485" t="s">
        <v>25</v>
      </c>
      <c r="F33" s="110"/>
      <c r="G33" s="38"/>
      <c r="H33" s="3"/>
    </row>
    <row r="34" spans="1:8" x14ac:dyDescent="0.2">
      <c r="A34" s="76" t="s">
        <v>326</v>
      </c>
      <c r="B34" s="311">
        <v>61.817999999999998</v>
      </c>
      <c r="C34" s="186"/>
      <c r="E34" s="76" t="s">
        <v>447</v>
      </c>
      <c r="F34" s="490">
        <f>B21</f>
        <v>275</v>
      </c>
      <c r="G34" s="38"/>
      <c r="H34" s="3"/>
    </row>
    <row r="35" spans="1:8" x14ac:dyDescent="0.2">
      <c r="A35" s="76" t="s">
        <v>190</v>
      </c>
      <c r="B35" s="233">
        <v>182</v>
      </c>
      <c r="C35" s="186">
        <v>192</v>
      </c>
      <c r="E35" s="76" t="s">
        <v>446</v>
      </c>
      <c r="F35" s="490">
        <f>B22</f>
        <v>475</v>
      </c>
      <c r="G35" s="76" t="s">
        <v>427</v>
      </c>
      <c r="H35" s="3"/>
    </row>
    <row r="36" spans="1:8" x14ac:dyDescent="0.2">
      <c r="A36" s="76" t="s">
        <v>191</v>
      </c>
      <c r="B36" s="233">
        <v>124</v>
      </c>
      <c r="C36" s="186">
        <v>135</v>
      </c>
      <c r="E36" s="76" t="s">
        <v>461</v>
      </c>
      <c r="F36" s="167" t="s">
        <v>645</v>
      </c>
      <c r="G36" s="76" t="s">
        <v>411</v>
      </c>
    </row>
    <row r="37" spans="1:8" x14ac:dyDescent="0.2">
      <c r="A37" s="104" t="s">
        <v>226</v>
      </c>
      <c r="B37" s="310">
        <v>19</v>
      </c>
      <c r="C37" s="474" t="s">
        <v>428</v>
      </c>
      <c r="E37" s="76" t="s">
        <v>646</v>
      </c>
      <c r="F37" s="167" t="s">
        <v>647</v>
      </c>
      <c r="G37" s="76" t="s">
        <v>411</v>
      </c>
    </row>
    <row r="38" spans="1:8" x14ac:dyDescent="0.2">
      <c r="A38" s="105" t="s">
        <v>151</v>
      </c>
      <c r="B38" s="233">
        <v>65</v>
      </c>
      <c r="C38" s="186">
        <v>65</v>
      </c>
      <c r="E38" s="104" t="str">
        <f>A77</f>
        <v>Rückplatte Spinner bis SP Batterie Mitte</v>
      </c>
      <c r="F38" s="490">
        <f>B77</f>
        <v>175</v>
      </c>
      <c r="G38" s="76" t="s">
        <v>648</v>
      </c>
    </row>
    <row r="39" spans="1:8" x14ac:dyDescent="0.2">
      <c r="A39" s="105" t="s">
        <v>150</v>
      </c>
      <c r="B39" s="233">
        <v>42</v>
      </c>
      <c r="C39" s="186">
        <v>42</v>
      </c>
      <c r="E39" s="38"/>
      <c r="F39" s="589"/>
      <c r="G39" s="38"/>
    </row>
    <row r="40" spans="1:8" x14ac:dyDescent="0.2">
      <c r="A40" s="105" t="s">
        <v>124</v>
      </c>
      <c r="B40" s="516">
        <f>B26/B41</f>
        <v>4.5731707317073171</v>
      </c>
      <c r="C40" s="186"/>
    </row>
    <row r="41" spans="1:8" x14ac:dyDescent="0.2">
      <c r="A41" s="38" t="s">
        <v>10</v>
      </c>
      <c r="B41" s="528">
        <f>B43+B45</f>
        <v>328</v>
      </c>
      <c r="C41" s="186"/>
      <c r="E41" s="485" t="s">
        <v>462</v>
      </c>
      <c r="F41" s="181"/>
      <c r="G41" s="76" t="s">
        <v>465</v>
      </c>
    </row>
    <row r="42" spans="1:8" x14ac:dyDescent="0.2">
      <c r="A42" s="38" t="s">
        <v>8</v>
      </c>
      <c r="B42" s="528">
        <f>B44+B48</f>
        <v>231</v>
      </c>
      <c r="C42" s="186"/>
      <c r="E42" s="76" t="s">
        <v>463</v>
      </c>
      <c r="F42" s="490">
        <f>'Antrieb, Fahrwerk, Momente'!O15</f>
        <v>10</v>
      </c>
      <c r="G42" s="38"/>
    </row>
    <row r="43" spans="1:8" x14ac:dyDescent="0.2">
      <c r="A43" s="38" t="s">
        <v>119</v>
      </c>
      <c r="B43" s="233">
        <v>272</v>
      </c>
      <c r="C43" s="186">
        <v>272</v>
      </c>
      <c r="E43" s="76" t="s">
        <v>449</v>
      </c>
      <c r="F43" s="491" t="str">
        <f>B89</f>
        <v>1</v>
      </c>
      <c r="G43" s="38"/>
    </row>
    <row r="44" spans="1:8" x14ac:dyDescent="0.2">
      <c r="A44" s="38" t="s">
        <v>9</v>
      </c>
      <c r="B44" s="233">
        <v>193</v>
      </c>
      <c r="C44" s="474">
        <v>195</v>
      </c>
      <c r="E44" s="76" t="s">
        <v>450</v>
      </c>
      <c r="F44" s="491">
        <f>B88</f>
        <v>3.5250817932768332</v>
      </c>
      <c r="G44" s="76" t="s">
        <v>456</v>
      </c>
    </row>
    <row r="45" spans="1:8" x14ac:dyDescent="0.2">
      <c r="A45" s="104" t="s">
        <v>651</v>
      </c>
      <c r="B45" s="233">
        <v>56</v>
      </c>
      <c r="C45" s="474">
        <v>73</v>
      </c>
    </row>
    <row r="46" spans="1:8" x14ac:dyDescent="0.2">
      <c r="A46" s="104" t="s">
        <v>270</v>
      </c>
      <c r="B46" s="233">
        <v>75</v>
      </c>
      <c r="C46" s="186">
        <v>70</v>
      </c>
      <c r="E46" s="485" t="s">
        <v>464</v>
      </c>
      <c r="F46" s="483"/>
      <c r="G46" s="38"/>
    </row>
    <row r="47" spans="1:8" x14ac:dyDescent="0.2">
      <c r="A47" s="104" t="s">
        <v>148</v>
      </c>
      <c r="B47" s="233">
        <v>33</v>
      </c>
      <c r="C47" s="474">
        <v>28</v>
      </c>
      <c r="E47" s="76" t="s">
        <v>458</v>
      </c>
      <c r="F47" s="489">
        <f>Schwerpunktrechnung!C29+Schwerpunktrechnung!C32</f>
        <v>20</v>
      </c>
      <c r="G47" s="38"/>
    </row>
    <row r="48" spans="1:8" x14ac:dyDescent="0.2">
      <c r="A48" s="104" t="s">
        <v>149</v>
      </c>
      <c r="B48" s="233">
        <v>38</v>
      </c>
      <c r="C48" s="504">
        <v>33</v>
      </c>
      <c r="D48" s="177"/>
      <c r="E48" s="76" t="s">
        <v>454</v>
      </c>
      <c r="F48" s="489">
        <f>Schwerpunktrechnung!C41</f>
        <v>175.61460179167545</v>
      </c>
      <c r="G48" s="76" t="s">
        <v>466</v>
      </c>
    </row>
    <row r="49" spans="1:7" x14ac:dyDescent="0.2">
      <c r="A49" s="105" t="s">
        <v>92</v>
      </c>
      <c r="B49" s="233">
        <v>693</v>
      </c>
      <c r="C49" s="186">
        <v>715</v>
      </c>
      <c r="E49" s="76" t="s">
        <v>460</v>
      </c>
      <c r="F49" s="489">
        <f>Schwerpunktrechnung!C42</f>
        <v>0.2067993089326183</v>
      </c>
      <c r="G49" s="76" t="s">
        <v>427</v>
      </c>
    </row>
    <row r="50" spans="1:7" x14ac:dyDescent="0.2">
      <c r="A50" s="105" t="s">
        <v>91</v>
      </c>
      <c r="B50" s="312">
        <v>703</v>
      </c>
      <c r="C50" s="186">
        <v>725</v>
      </c>
      <c r="E50" s="76" t="s">
        <v>453</v>
      </c>
      <c r="F50" s="490">
        <v>55</v>
      </c>
      <c r="G50" s="76" t="s">
        <v>427</v>
      </c>
    </row>
    <row r="51" spans="1:7" x14ac:dyDescent="0.2">
      <c r="A51" s="105" t="s">
        <v>650</v>
      </c>
      <c r="B51" s="590">
        <v>292</v>
      </c>
      <c r="C51" s="186"/>
      <c r="E51" s="76" t="s">
        <v>455</v>
      </c>
      <c r="F51" s="490">
        <f>'Antrieb, Fahrwerk, Momente'!L76</f>
        <v>0</v>
      </c>
      <c r="G51" s="76" t="s">
        <v>443</v>
      </c>
    </row>
    <row r="52" spans="1:7" x14ac:dyDescent="0.2">
      <c r="A52" s="9"/>
      <c r="B52" s="107"/>
      <c r="C52" s="186"/>
    </row>
    <row r="53" spans="1:7" x14ac:dyDescent="0.2">
      <c r="A53" s="77" t="s">
        <v>14</v>
      </c>
      <c r="B53" s="65"/>
      <c r="C53" s="186"/>
      <c r="E53" s="485" t="s">
        <v>475</v>
      </c>
      <c r="F53" s="273" t="s">
        <v>333</v>
      </c>
      <c r="G53" s="273" t="s">
        <v>184</v>
      </c>
    </row>
    <row r="54" spans="1:7" x14ac:dyDescent="0.2">
      <c r="A54" s="38" t="s">
        <v>7</v>
      </c>
      <c r="B54" s="233">
        <v>780</v>
      </c>
      <c r="C54" s="186">
        <v>780</v>
      </c>
      <c r="E54" s="104" t="s">
        <v>476</v>
      </c>
      <c r="F54" s="490">
        <f>B93</f>
        <v>100</v>
      </c>
      <c r="G54" s="354" t="str">
        <f>C94</f>
        <v>45°</v>
      </c>
    </row>
    <row r="55" spans="1:7" x14ac:dyDescent="0.2">
      <c r="A55" s="105" t="s">
        <v>192</v>
      </c>
      <c r="B55" s="580">
        <f>B58/(B60/100)</f>
        <v>9.2682926829268304</v>
      </c>
      <c r="C55" s="186"/>
      <c r="E55" s="104" t="s">
        <v>482</v>
      </c>
      <c r="F55" s="490">
        <f>B95</f>
        <v>10</v>
      </c>
      <c r="G55" s="273" t="s">
        <v>483</v>
      </c>
    </row>
    <row r="56" spans="1:7" x14ac:dyDescent="0.2">
      <c r="A56" s="105" t="s">
        <v>243</v>
      </c>
      <c r="B56" s="313">
        <v>1</v>
      </c>
      <c r="C56" s="186"/>
      <c r="E56" s="104" t="s">
        <v>477</v>
      </c>
      <c r="F56" s="490">
        <f>B94</f>
        <v>23</v>
      </c>
      <c r="G56" s="320"/>
    </row>
    <row r="57" spans="1:7" x14ac:dyDescent="0.2">
      <c r="A57" s="104" t="s">
        <v>264</v>
      </c>
      <c r="B57" s="237">
        <v>1.5</v>
      </c>
      <c r="C57" s="184">
        <v>1.5</v>
      </c>
      <c r="E57" s="104" t="s">
        <v>478</v>
      </c>
      <c r="F57" s="490">
        <f t="shared" ref="F57:G59" si="0">B97</f>
        <v>20</v>
      </c>
      <c r="G57" s="371" t="str">
        <f t="shared" si="0"/>
        <v>55°</v>
      </c>
    </row>
    <row r="58" spans="1:7" x14ac:dyDescent="0.2">
      <c r="A58" s="105" t="s">
        <v>146</v>
      </c>
      <c r="B58" s="233">
        <v>19</v>
      </c>
      <c r="C58" s="186"/>
      <c r="E58" s="104" t="s">
        <v>479</v>
      </c>
      <c r="F58" s="490">
        <f t="shared" si="0"/>
        <v>25</v>
      </c>
      <c r="G58" s="371" t="str">
        <f t="shared" si="0"/>
        <v>40°</v>
      </c>
    </row>
    <row r="59" spans="1:7" x14ac:dyDescent="0.2">
      <c r="A59" s="9" t="s">
        <v>147</v>
      </c>
      <c r="B59" s="233">
        <v>13</v>
      </c>
      <c r="C59" s="186"/>
      <c r="E59" s="104" t="s">
        <v>480</v>
      </c>
      <c r="F59" s="490">
        <f t="shared" si="0"/>
        <v>30</v>
      </c>
      <c r="G59" s="371" t="str">
        <f t="shared" si="0"/>
        <v>33°</v>
      </c>
    </row>
    <row r="60" spans="1:7" x14ac:dyDescent="0.2">
      <c r="A60" s="38" t="s">
        <v>15</v>
      </c>
      <c r="B60" s="518">
        <f>B63+B66</f>
        <v>205</v>
      </c>
      <c r="C60" s="186">
        <v>205</v>
      </c>
      <c r="E60" s="104" t="s">
        <v>489</v>
      </c>
      <c r="F60" s="490">
        <f>B101</f>
        <v>20</v>
      </c>
      <c r="G60" s="371" t="str">
        <f>C101</f>
        <v>55°</v>
      </c>
    </row>
    <row r="61" spans="1:7" x14ac:dyDescent="0.2">
      <c r="A61" s="38" t="s">
        <v>16</v>
      </c>
      <c r="B61" s="518">
        <f>B64+B68</f>
        <v>151</v>
      </c>
      <c r="C61" s="186">
        <v>144</v>
      </c>
      <c r="E61" s="104" t="s">
        <v>490</v>
      </c>
      <c r="F61" s="490">
        <f>B102</f>
        <v>25</v>
      </c>
      <c r="G61" s="371" t="str">
        <f>C102</f>
        <v>40°</v>
      </c>
    </row>
    <row r="62" spans="1:7" x14ac:dyDescent="0.2">
      <c r="A62" s="105" t="s">
        <v>174</v>
      </c>
      <c r="B62" s="564">
        <f>B54/2</f>
        <v>390</v>
      </c>
      <c r="C62" s="186">
        <v>390</v>
      </c>
      <c r="E62" s="104" t="s">
        <v>529</v>
      </c>
      <c r="F62" s="490">
        <v>30</v>
      </c>
      <c r="G62" s="420" t="s">
        <v>186</v>
      </c>
    </row>
    <row r="63" spans="1:7" x14ac:dyDescent="0.2">
      <c r="A63" s="105" t="s">
        <v>17</v>
      </c>
      <c r="B63" s="233">
        <v>130</v>
      </c>
      <c r="C63" s="474">
        <v>130</v>
      </c>
      <c r="E63" s="104" t="s">
        <v>488</v>
      </c>
      <c r="F63" s="38"/>
      <c r="G63" s="420" t="s">
        <v>481</v>
      </c>
    </row>
    <row r="64" spans="1:7" x14ac:dyDescent="0.2">
      <c r="A64" s="105" t="s">
        <v>18</v>
      </c>
      <c r="B64" s="233">
        <v>91</v>
      </c>
      <c r="C64" s="186">
        <v>89</v>
      </c>
    </row>
    <row r="65" spans="1:4" x14ac:dyDescent="0.2">
      <c r="A65" s="105" t="s">
        <v>173</v>
      </c>
      <c r="B65" s="314" t="s">
        <v>327</v>
      </c>
      <c r="C65" s="186"/>
    </row>
    <row r="66" spans="1:4" x14ac:dyDescent="0.2">
      <c r="A66" s="38" t="s">
        <v>19</v>
      </c>
      <c r="B66" s="233">
        <v>75</v>
      </c>
      <c r="C66" s="474">
        <v>75</v>
      </c>
    </row>
    <row r="67" spans="1:4" x14ac:dyDescent="0.2">
      <c r="A67" s="38" t="s">
        <v>162</v>
      </c>
      <c r="B67" s="233">
        <v>7</v>
      </c>
      <c r="C67" s="477">
        <v>6</v>
      </c>
    </row>
    <row r="68" spans="1:4" x14ac:dyDescent="0.2">
      <c r="A68" s="105" t="s">
        <v>20</v>
      </c>
      <c r="B68" s="233">
        <v>60</v>
      </c>
      <c r="C68" s="474">
        <v>55</v>
      </c>
    </row>
    <row r="69" spans="1:4" x14ac:dyDescent="0.2">
      <c r="A69" s="105" t="s">
        <v>93</v>
      </c>
      <c r="B69" s="233">
        <v>365</v>
      </c>
      <c r="C69" s="186">
        <v>365</v>
      </c>
    </row>
    <row r="70" spans="1:4" x14ac:dyDescent="0.2">
      <c r="A70" s="3"/>
      <c r="B70" s="108"/>
      <c r="C70" s="186"/>
    </row>
    <row r="71" spans="1:4" x14ac:dyDescent="0.2">
      <c r="A71" s="77" t="s">
        <v>43</v>
      </c>
      <c r="B71" s="65"/>
      <c r="C71" s="186"/>
    </row>
    <row r="72" spans="1:4" x14ac:dyDescent="0.2">
      <c r="A72" s="38" t="s">
        <v>44</v>
      </c>
      <c r="B72" s="528">
        <f>B21+B43+B22+B66+100</f>
        <v>1197</v>
      </c>
      <c r="C72" s="186"/>
    </row>
    <row r="73" spans="1:4" x14ac:dyDescent="0.2">
      <c r="A73" s="76" t="s">
        <v>620</v>
      </c>
      <c r="B73" s="228">
        <f>'Antrieb, Fahrwerk, Momente'!O15</f>
        <v>10</v>
      </c>
      <c r="C73" s="186">
        <v>46</v>
      </c>
      <c r="D73" s="2" t="s">
        <v>619</v>
      </c>
    </row>
    <row r="74" spans="1:4" x14ac:dyDescent="0.2">
      <c r="A74" s="76" t="s">
        <v>621</v>
      </c>
      <c r="B74" s="228">
        <f>'Antrieb, Fahrwerk, Momente'!O20</f>
        <v>20</v>
      </c>
      <c r="C74" s="186">
        <v>28</v>
      </c>
      <c r="D74" s="2" t="s">
        <v>619</v>
      </c>
    </row>
    <row r="75" spans="1:4" x14ac:dyDescent="0.2">
      <c r="A75" s="76" t="s">
        <v>182</v>
      </c>
      <c r="B75" s="233">
        <f>B21</f>
        <v>275</v>
      </c>
      <c r="C75" s="186">
        <v>298</v>
      </c>
    </row>
    <row r="76" spans="1:4" x14ac:dyDescent="0.2">
      <c r="A76" s="104" t="s">
        <v>591</v>
      </c>
      <c r="B76" s="495">
        <v>150</v>
      </c>
    </row>
    <row r="77" spans="1:4" x14ac:dyDescent="0.2">
      <c r="A77" s="104" t="s">
        <v>592</v>
      </c>
      <c r="B77" s="495">
        <v>175</v>
      </c>
    </row>
    <row r="78" spans="1:4" x14ac:dyDescent="0.2">
      <c r="A78" s="104" t="s">
        <v>593</v>
      </c>
      <c r="B78" s="495">
        <v>200</v>
      </c>
    </row>
    <row r="79" spans="1:4" x14ac:dyDescent="0.2">
      <c r="A79" s="76" t="s">
        <v>183</v>
      </c>
      <c r="B79" s="228">
        <f>B22</f>
        <v>475</v>
      </c>
      <c r="C79" s="472">
        <v>475</v>
      </c>
    </row>
    <row r="80" spans="1:4" x14ac:dyDescent="0.2">
      <c r="A80" s="38" t="s">
        <v>45</v>
      </c>
      <c r="B80" s="233">
        <v>100</v>
      </c>
      <c r="C80" s="475"/>
    </row>
    <row r="81" spans="1:4" x14ac:dyDescent="0.2">
      <c r="A81" s="38" t="s">
        <v>247</v>
      </c>
      <c r="B81" s="233">
        <v>52</v>
      </c>
      <c r="C81" s="474"/>
    </row>
    <row r="82" spans="1:4" x14ac:dyDescent="0.2">
      <c r="A82" s="38" t="s">
        <v>47</v>
      </c>
      <c r="B82" s="516">
        <f>(B80*B72)/10000</f>
        <v>11.97</v>
      </c>
      <c r="C82" s="474"/>
    </row>
    <row r="83" spans="1:4" x14ac:dyDescent="0.2">
      <c r="A83" s="38" t="s">
        <v>49</v>
      </c>
      <c r="B83" s="516">
        <f>(((B80+B81)*2)*B72)/10000</f>
        <v>36.388800000000003</v>
      </c>
      <c r="C83" s="475"/>
    </row>
    <row r="84" spans="1:4" x14ac:dyDescent="0.2">
      <c r="A84" s="76" t="s">
        <v>622</v>
      </c>
      <c r="B84" s="505">
        <v>20</v>
      </c>
      <c r="C84" s="474"/>
      <c r="D84" t="s">
        <v>519</v>
      </c>
    </row>
    <row r="85" spans="1:4" x14ac:dyDescent="0.2">
      <c r="A85" s="76" t="s">
        <v>518</v>
      </c>
      <c r="B85" s="233">
        <v>193</v>
      </c>
      <c r="C85" s="474"/>
    </row>
    <row r="86" spans="1:4" x14ac:dyDescent="0.2">
      <c r="A86" s="76" t="s">
        <v>520</v>
      </c>
      <c r="B86" s="233">
        <v>72</v>
      </c>
      <c r="C86" s="474"/>
    </row>
    <row r="87" spans="1:4" x14ac:dyDescent="0.2">
      <c r="A87" s="76" t="s">
        <v>528</v>
      </c>
      <c r="B87" s="245">
        <v>2</v>
      </c>
      <c r="C87" s="186"/>
    </row>
    <row r="88" spans="1:4" x14ac:dyDescent="0.2">
      <c r="A88" s="104" t="s">
        <v>307</v>
      </c>
      <c r="B88" s="315">
        <f>'Antrieb, Fahrwerk, Momente'!L95</f>
        <v>3.5250817932768332</v>
      </c>
      <c r="C88" s="186"/>
    </row>
    <row r="89" spans="1:4" x14ac:dyDescent="0.2">
      <c r="A89" s="104" t="s">
        <v>451</v>
      </c>
      <c r="B89" s="242" t="s">
        <v>469</v>
      </c>
      <c r="C89" s="186"/>
    </row>
    <row r="90" spans="1:4" x14ac:dyDescent="0.2">
      <c r="C90" s="186"/>
    </row>
    <row r="91" spans="1:4" x14ac:dyDescent="0.2">
      <c r="C91" s="186"/>
    </row>
    <row r="92" spans="1:4" x14ac:dyDescent="0.2">
      <c r="A92" s="305" t="s">
        <v>180</v>
      </c>
      <c r="B92" s="487" t="s">
        <v>187</v>
      </c>
      <c r="C92" s="488" t="s">
        <v>184</v>
      </c>
    </row>
    <row r="93" spans="1:4" x14ac:dyDescent="0.2">
      <c r="A93" s="38" t="s">
        <v>471</v>
      </c>
      <c r="B93" s="422">
        <v>100</v>
      </c>
      <c r="C93" s="264"/>
    </row>
    <row r="94" spans="1:4" x14ac:dyDescent="0.2">
      <c r="A94" s="76" t="s">
        <v>470</v>
      </c>
      <c r="B94" s="422">
        <v>23</v>
      </c>
      <c r="C94" s="476" t="s">
        <v>185</v>
      </c>
    </row>
    <row r="95" spans="1:4" x14ac:dyDescent="0.2">
      <c r="A95" s="76" t="s">
        <v>472</v>
      </c>
      <c r="B95" s="422">
        <v>10</v>
      </c>
      <c r="C95" s="264"/>
    </row>
    <row r="96" spans="1:4" x14ac:dyDescent="0.2">
      <c r="A96" s="76"/>
      <c r="B96" s="277"/>
      <c r="C96" s="264"/>
    </row>
    <row r="97" spans="1:3" x14ac:dyDescent="0.2">
      <c r="A97" s="76" t="s">
        <v>473</v>
      </c>
      <c r="B97" s="277">
        <v>20</v>
      </c>
      <c r="C97" s="476" t="s">
        <v>641</v>
      </c>
    </row>
    <row r="98" spans="1:3" x14ac:dyDescent="0.2">
      <c r="A98" s="76" t="s">
        <v>473</v>
      </c>
      <c r="B98" s="277">
        <v>25</v>
      </c>
      <c r="C98" s="476" t="s">
        <v>642</v>
      </c>
    </row>
    <row r="99" spans="1:3" x14ac:dyDescent="0.2">
      <c r="A99" s="76" t="s">
        <v>473</v>
      </c>
      <c r="B99" s="422">
        <v>30</v>
      </c>
      <c r="C99" s="476" t="s">
        <v>643</v>
      </c>
    </row>
    <row r="100" spans="1:3" x14ac:dyDescent="0.2">
      <c r="A100" s="76"/>
      <c r="B100" s="277"/>
      <c r="C100" s="476"/>
    </row>
    <row r="101" spans="1:3" x14ac:dyDescent="0.2">
      <c r="A101" s="76" t="s">
        <v>474</v>
      </c>
      <c r="B101" s="277">
        <v>20</v>
      </c>
      <c r="C101" s="476" t="s">
        <v>641</v>
      </c>
    </row>
    <row r="102" spans="1:3" x14ac:dyDescent="0.2">
      <c r="A102" s="76" t="s">
        <v>474</v>
      </c>
      <c r="B102" s="277">
        <v>25</v>
      </c>
      <c r="C102" s="476" t="s">
        <v>642</v>
      </c>
    </row>
    <row r="103" spans="1:3" x14ac:dyDescent="0.2">
      <c r="A103" s="104" t="s">
        <v>474</v>
      </c>
      <c r="B103" s="422">
        <v>30</v>
      </c>
      <c r="C103" s="476" t="s">
        <v>643</v>
      </c>
    </row>
    <row r="104" spans="1:3" x14ac:dyDescent="0.2">
      <c r="A104" s="38"/>
      <c r="B104" s="54"/>
      <c r="C104" s="264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5"/>
  <sheetViews>
    <sheetView topLeftCell="A8" workbookViewId="0">
      <selection activeCell="E26" sqref="E26"/>
    </sheetView>
  </sheetViews>
  <sheetFormatPr baseColWidth="10" defaultRowHeight="12.75" x14ac:dyDescent="0.2"/>
  <cols>
    <col min="2" max="2" width="29.140625" customWidth="1"/>
    <col min="3" max="3" width="8.5703125" customWidth="1"/>
    <col min="5" max="5" width="25.42578125" customWidth="1"/>
    <col min="6" max="6" width="10.28515625" customWidth="1"/>
  </cols>
  <sheetData>
    <row r="3" spans="2:14" ht="15.75" x14ac:dyDescent="0.25">
      <c r="B3" s="509" t="s">
        <v>535</v>
      </c>
      <c r="D3" t="s">
        <v>491</v>
      </c>
    </row>
    <row r="4" spans="2:14" x14ac:dyDescent="0.2">
      <c r="B4" s="38"/>
    </row>
    <row r="5" spans="2:14" x14ac:dyDescent="0.2">
      <c r="B5" s="76" t="s">
        <v>540</v>
      </c>
    </row>
    <row r="6" spans="2:14" x14ac:dyDescent="0.2">
      <c r="B6" s="38"/>
      <c r="E6" s="503"/>
      <c r="F6" s="429" t="s">
        <v>387</v>
      </c>
      <c r="G6" s="430">
        <v>101971.62</v>
      </c>
      <c r="I6" s="38" t="s">
        <v>496</v>
      </c>
      <c r="J6" s="38"/>
      <c r="K6" s="38"/>
      <c r="L6" s="38"/>
      <c r="M6" s="38"/>
      <c r="N6" s="38"/>
    </row>
    <row r="7" spans="2:14" x14ac:dyDescent="0.2">
      <c r="B7" s="38" t="s">
        <v>539</v>
      </c>
      <c r="E7" s="503"/>
      <c r="F7" s="429" t="s">
        <v>388</v>
      </c>
      <c r="G7" s="431">
        <v>10197.16</v>
      </c>
      <c r="I7" s="38"/>
      <c r="J7" s="38"/>
      <c r="K7" s="38"/>
      <c r="L7" s="38"/>
      <c r="M7" s="38"/>
      <c r="N7" s="38"/>
    </row>
    <row r="8" spans="2:14" x14ac:dyDescent="0.2">
      <c r="B8" s="38" t="s">
        <v>537</v>
      </c>
      <c r="E8" s="38"/>
      <c r="F8" s="429" t="s">
        <v>390</v>
      </c>
      <c r="G8" s="78">
        <v>0.98</v>
      </c>
      <c r="I8" s="38" t="s">
        <v>497</v>
      </c>
      <c r="J8" s="38"/>
      <c r="K8" s="38" t="s">
        <v>498</v>
      </c>
      <c r="L8" s="38"/>
      <c r="M8" s="38"/>
      <c r="N8" s="38"/>
    </row>
    <row r="9" spans="2:14" x14ac:dyDescent="0.2">
      <c r="B9" s="38" t="s">
        <v>538</v>
      </c>
      <c r="E9" s="38"/>
      <c r="F9" s="429" t="s">
        <v>389</v>
      </c>
      <c r="G9" s="78">
        <v>1.02</v>
      </c>
      <c r="I9" s="38">
        <v>1</v>
      </c>
      <c r="J9" s="38"/>
      <c r="K9" s="38">
        <v>102</v>
      </c>
      <c r="L9" s="38"/>
      <c r="M9" s="38"/>
      <c r="N9" s="38"/>
    </row>
    <row r="10" spans="2:14" x14ac:dyDescent="0.2">
      <c r="B10" s="38" t="s">
        <v>536</v>
      </c>
      <c r="E10" s="38" t="s">
        <v>500</v>
      </c>
      <c r="F10" s="38" t="s">
        <v>501</v>
      </c>
      <c r="G10" s="38">
        <v>10000</v>
      </c>
      <c r="I10" s="38"/>
      <c r="J10" s="38"/>
      <c r="K10" s="38"/>
      <c r="L10" s="38"/>
      <c r="M10" s="38"/>
      <c r="N10" s="38"/>
    </row>
    <row r="11" spans="2:14" x14ac:dyDescent="0.2">
      <c r="B11" s="38"/>
      <c r="E11" s="38" t="s">
        <v>492</v>
      </c>
      <c r="F11" s="38"/>
      <c r="G11" s="38">
        <v>1.2</v>
      </c>
      <c r="I11" s="38" t="s">
        <v>498</v>
      </c>
      <c r="J11" s="38"/>
      <c r="K11" s="38" t="s">
        <v>634</v>
      </c>
      <c r="L11" s="38"/>
      <c r="M11" s="38"/>
      <c r="N11" s="38"/>
    </row>
    <row r="12" spans="2:14" x14ac:dyDescent="0.2">
      <c r="E12" s="76" t="s">
        <v>544</v>
      </c>
      <c r="F12" s="38"/>
      <c r="G12" s="38">
        <f>0.4</f>
        <v>0.4</v>
      </c>
      <c r="I12" s="38">
        <v>100</v>
      </c>
      <c r="J12" s="38"/>
      <c r="K12" s="38">
        <v>0.98</v>
      </c>
      <c r="L12" s="38"/>
      <c r="M12" s="38"/>
      <c r="N12" s="38"/>
    </row>
    <row r="13" spans="2:14" x14ac:dyDescent="0.2">
      <c r="B13" s="305" t="s">
        <v>534</v>
      </c>
      <c r="C13" s="38"/>
      <c r="E13" s="38" t="s">
        <v>493</v>
      </c>
      <c r="F13" s="38"/>
      <c r="G13" s="38">
        <v>1</v>
      </c>
      <c r="I13" s="38"/>
      <c r="J13" s="38"/>
      <c r="K13" s="38"/>
      <c r="L13" s="38"/>
      <c r="M13" s="38"/>
      <c r="N13" s="38"/>
    </row>
    <row r="14" spans="2:14" x14ac:dyDescent="0.2">
      <c r="B14" s="38" t="s">
        <v>531</v>
      </c>
      <c r="C14" s="38">
        <v>5</v>
      </c>
      <c r="E14" s="38" t="s">
        <v>494</v>
      </c>
      <c r="F14" s="38"/>
      <c r="G14" s="38">
        <v>0.2</v>
      </c>
      <c r="I14" s="38" t="s">
        <v>499</v>
      </c>
      <c r="J14" s="38"/>
      <c r="K14" s="38" t="s">
        <v>87</v>
      </c>
      <c r="L14" s="38"/>
      <c r="M14" s="38"/>
      <c r="N14" s="38"/>
    </row>
    <row r="15" spans="2:14" x14ac:dyDescent="0.2">
      <c r="B15" s="38" t="s">
        <v>532</v>
      </c>
      <c r="C15" s="38">
        <v>150</v>
      </c>
      <c r="E15" s="105" t="s">
        <v>533</v>
      </c>
      <c r="F15" s="38"/>
      <c r="G15" s="105">
        <v>0.1</v>
      </c>
      <c r="I15" s="38">
        <v>1</v>
      </c>
      <c r="J15" s="38"/>
      <c r="K15" s="38">
        <v>101971.62</v>
      </c>
      <c r="L15" s="38"/>
      <c r="M15" s="38"/>
      <c r="N15" s="38"/>
    </row>
    <row r="16" spans="2:14" x14ac:dyDescent="0.2">
      <c r="B16" s="38" t="s">
        <v>504</v>
      </c>
      <c r="C16" s="38">
        <f>(C14*C15)/10000</f>
        <v>7.4999999999999997E-2</v>
      </c>
      <c r="E16" s="506" t="s">
        <v>545</v>
      </c>
      <c r="G16" s="105">
        <v>0.5</v>
      </c>
      <c r="I16" s="38"/>
      <c r="J16" s="38"/>
      <c r="K16" s="38"/>
      <c r="L16" s="38"/>
      <c r="M16" s="38"/>
      <c r="N16" s="38"/>
    </row>
    <row r="17" spans="2:14" x14ac:dyDescent="0.2">
      <c r="B17" s="38" t="s">
        <v>505</v>
      </c>
      <c r="C17" s="38">
        <f>G11</f>
        <v>1.2</v>
      </c>
      <c r="E17" s="105" t="s">
        <v>495</v>
      </c>
      <c r="F17" s="38"/>
      <c r="G17" s="105">
        <v>98</v>
      </c>
      <c r="I17" s="38" t="s">
        <v>633</v>
      </c>
      <c r="J17" s="38"/>
      <c r="K17" s="38" t="s">
        <v>634</v>
      </c>
      <c r="L17" s="38" t="s">
        <v>87</v>
      </c>
      <c r="M17" s="38"/>
      <c r="N17" s="38"/>
    </row>
    <row r="18" spans="2:14" x14ac:dyDescent="0.2">
      <c r="B18" s="38" t="s">
        <v>506</v>
      </c>
      <c r="C18" s="38">
        <v>25</v>
      </c>
      <c r="E18" s="507" t="s">
        <v>541</v>
      </c>
      <c r="F18" s="508"/>
      <c r="G18" s="105">
        <v>102</v>
      </c>
      <c r="I18" s="585">
        <v>1</v>
      </c>
      <c r="J18" s="38"/>
      <c r="K18" s="38">
        <v>4.45</v>
      </c>
      <c r="L18" s="38">
        <f>K18*K9</f>
        <v>453.90000000000003</v>
      </c>
      <c r="M18" s="38"/>
      <c r="N18" s="38"/>
    </row>
    <row r="19" spans="2:14" x14ac:dyDescent="0.2">
      <c r="B19" s="38" t="s">
        <v>508</v>
      </c>
      <c r="C19" s="38">
        <v>0.1</v>
      </c>
    </row>
    <row r="20" spans="2:14" x14ac:dyDescent="0.2">
      <c r="B20" s="76" t="s">
        <v>542</v>
      </c>
      <c r="C20" s="253">
        <f>0.5*G15*C16*G11*(C18*C18)</f>
        <v>2.8125</v>
      </c>
      <c r="E20" s="2"/>
    </row>
    <row r="21" spans="2:14" x14ac:dyDescent="0.2">
      <c r="B21" s="104" t="s">
        <v>507</v>
      </c>
      <c r="C21" s="190">
        <f>C20*K9</f>
        <v>286.875</v>
      </c>
    </row>
    <row r="23" spans="2:14" x14ac:dyDescent="0.2">
      <c r="B23" s="8"/>
      <c r="C23" s="9"/>
      <c r="D23" s="9"/>
      <c r="E23" s="8"/>
      <c r="F23" s="9"/>
    </row>
    <row r="24" spans="2:14" x14ac:dyDescent="0.2">
      <c r="B24" s="9"/>
      <c r="C24" s="9"/>
      <c r="D24" s="9"/>
      <c r="E24" s="5"/>
      <c r="F24" s="9"/>
      <c r="I24" s="3"/>
      <c r="J24" s="3"/>
      <c r="K24" s="3"/>
      <c r="L24" s="3" t="s">
        <v>632</v>
      </c>
      <c r="M24" s="3"/>
      <c r="N24" s="3"/>
    </row>
    <row r="25" spans="2:14" x14ac:dyDescent="0.2">
      <c r="B25" s="305" t="s">
        <v>543</v>
      </c>
      <c r="C25" s="38"/>
      <c r="D25" s="9"/>
      <c r="E25" s="5"/>
      <c r="F25" s="9"/>
      <c r="I25" s="3"/>
      <c r="J25" s="3"/>
      <c r="K25" s="3"/>
      <c r="L25" s="3"/>
      <c r="M25" s="3"/>
      <c r="N25" s="3"/>
    </row>
    <row r="26" spans="2:14" x14ac:dyDescent="0.2">
      <c r="B26" s="38" t="s">
        <v>531</v>
      </c>
      <c r="C26" s="38">
        <v>1.5</v>
      </c>
      <c r="D26" s="9"/>
      <c r="E26" s="9"/>
      <c r="F26" s="9"/>
      <c r="I26" s="3"/>
      <c r="J26" s="3"/>
      <c r="K26" s="3"/>
      <c r="L26" s="3"/>
      <c r="M26" s="3"/>
      <c r="N26" s="3"/>
    </row>
    <row r="27" spans="2:14" x14ac:dyDescent="0.2">
      <c r="B27" s="38" t="s">
        <v>532</v>
      </c>
      <c r="C27" s="38">
        <v>79</v>
      </c>
      <c r="D27" s="9"/>
      <c r="E27" s="9"/>
      <c r="F27" s="9"/>
      <c r="I27" s="3"/>
      <c r="J27" s="3"/>
      <c r="K27" s="3"/>
      <c r="L27" s="3"/>
      <c r="M27" s="3"/>
      <c r="N27" s="3"/>
    </row>
    <row r="28" spans="2:14" x14ac:dyDescent="0.2">
      <c r="B28" s="38" t="s">
        <v>504</v>
      </c>
      <c r="C28" s="38">
        <f>(C26*C27)/10000</f>
        <v>1.1849999999999999E-2</v>
      </c>
      <c r="D28" s="9"/>
      <c r="E28" s="9"/>
      <c r="F28" s="9"/>
      <c r="I28" s="3"/>
      <c r="J28" s="3"/>
      <c r="K28" s="3"/>
      <c r="L28" s="3"/>
      <c r="M28" s="3"/>
      <c r="N28" s="3"/>
    </row>
    <row r="29" spans="2:14" x14ac:dyDescent="0.2">
      <c r="B29" s="38" t="s">
        <v>505</v>
      </c>
      <c r="C29" s="38">
        <f>G11</f>
        <v>1.2</v>
      </c>
      <c r="D29" s="9"/>
      <c r="E29" s="9"/>
      <c r="F29" s="9"/>
      <c r="I29" s="3"/>
      <c r="J29" s="3"/>
      <c r="K29" s="3"/>
      <c r="L29" s="3"/>
      <c r="M29" s="3"/>
      <c r="N29" s="3"/>
    </row>
    <row r="30" spans="2:14" x14ac:dyDescent="0.2">
      <c r="B30" s="38" t="s">
        <v>506</v>
      </c>
      <c r="C30" s="38">
        <v>25</v>
      </c>
      <c r="D30" s="9"/>
      <c r="E30" s="5"/>
      <c r="F30" s="227"/>
      <c r="I30" s="3"/>
      <c r="J30" s="3"/>
      <c r="K30" s="3"/>
      <c r="L30" s="3"/>
      <c r="M30" s="3"/>
      <c r="N30" s="3"/>
    </row>
    <row r="31" spans="2:14" x14ac:dyDescent="0.2">
      <c r="B31" s="38" t="s">
        <v>508</v>
      </c>
      <c r="C31" s="38">
        <f>G15</f>
        <v>0.1</v>
      </c>
      <c r="D31" s="9"/>
      <c r="E31" s="5"/>
      <c r="F31" s="9"/>
      <c r="I31" s="3"/>
      <c r="J31" s="3"/>
      <c r="K31" s="3"/>
      <c r="L31" s="3"/>
      <c r="M31" s="3"/>
      <c r="N31" s="3"/>
    </row>
    <row r="32" spans="2:14" x14ac:dyDescent="0.2">
      <c r="B32" s="76" t="s">
        <v>542</v>
      </c>
      <c r="C32" s="253">
        <f>0.5*C31*C28*G11*(C30*C30)</f>
        <v>0.44437500000000002</v>
      </c>
      <c r="I32" s="3"/>
      <c r="J32" s="3"/>
      <c r="K32" s="3"/>
      <c r="L32" s="3"/>
      <c r="M32" s="3"/>
      <c r="N32" s="3"/>
    </row>
    <row r="33" spans="2:14" x14ac:dyDescent="0.2">
      <c r="B33" s="104" t="s">
        <v>507</v>
      </c>
      <c r="C33" s="190">
        <f>C32*K9</f>
        <v>45.326250000000002</v>
      </c>
      <c r="I33" s="3"/>
      <c r="J33" s="3"/>
      <c r="K33" s="3"/>
      <c r="L33" s="3"/>
      <c r="M33" s="3"/>
      <c r="N33" s="3"/>
    </row>
    <row r="36" spans="2:14" x14ac:dyDescent="0.2">
      <c r="B36" s="8"/>
      <c r="C36" s="9"/>
      <c r="D36" s="9"/>
      <c r="E36" s="8"/>
      <c r="F36" s="9"/>
    </row>
    <row r="37" spans="2:14" x14ac:dyDescent="0.2">
      <c r="B37" s="305" t="s">
        <v>511</v>
      </c>
      <c r="C37" s="38"/>
      <c r="E37" s="305" t="s">
        <v>512</v>
      </c>
      <c r="F37" s="38"/>
    </row>
    <row r="38" spans="2:14" x14ac:dyDescent="0.2">
      <c r="B38" s="38" t="s">
        <v>502</v>
      </c>
      <c r="C38" s="38">
        <v>2</v>
      </c>
      <c r="E38" s="76" t="s">
        <v>509</v>
      </c>
      <c r="F38" s="38">
        <v>0.3</v>
      </c>
    </row>
    <row r="39" spans="2:14" x14ac:dyDescent="0.2">
      <c r="B39" s="38" t="s">
        <v>503</v>
      </c>
      <c r="C39" s="38">
        <v>5.5</v>
      </c>
      <c r="E39" s="76" t="s">
        <v>510</v>
      </c>
      <c r="F39" s="38">
        <v>20</v>
      </c>
    </row>
    <row r="40" spans="2:14" x14ac:dyDescent="0.2">
      <c r="B40" s="38" t="s">
        <v>504</v>
      </c>
      <c r="C40" s="38">
        <f>(C38*C39)/10000</f>
        <v>1.1000000000000001E-3</v>
      </c>
      <c r="E40" s="38" t="s">
        <v>504</v>
      </c>
      <c r="F40" s="38">
        <f>(F38*F39)/10000</f>
        <v>5.9999999999999995E-4</v>
      </c>
    </row>
    <row r="41" spans="2:14" x14ac:dyDescent="0.2">
      <c r="B41" s="38" t="s">
        <v>505</v>
      </c>
      <c r="C41" s="38">
        <f>G11</f>
        <v>1.2</v>
      </c>
      <c r="E41" s="38" t="s">
        <v>505</v>
      </c>
      <c r="F41" s="38">
        <f>G11</f>
        <v>1.2</v>
      </c>
    </row>
    <row r="42" spans="2:14" x14ac:dyDescent="0.2">
      <c r="B42" s="38" t="s">
        <v>506</v>
      </c>
      <c r="C42" s="38">
        <v>25</v>
      </c>
      <c r="E42" s="38" t="s">
        <v>506</v>
      </c>
      <c r="F42" s="38">
        <v>25</v>
      </c>
      <c r="L42" t="s">
        <v>635</v>
      </c>
      <c r="M42" t="s">
        <v>640</v>
      </c>
    </row>
    <row r="43" spans="2:14" x14ac:dyDescent="0.2">
      <c r="B43" s="38" t="s">
        <v>508</v>
      </c>
      <c r="C43" s="38">
        <f>G12</f>
        <v>0.4</v>
      </c>
      <c r="E43" s="38" t="s">
        <v>508</v>
      </c>
      <c r="F43" s="38">
        <f>G16</f>
        <v>0.5</v>
      </c>
      <c r="L43" t="s">
        <v>636</v>
      </c>
      <c r="M43" t="s">
        <v>637</v>
      </c>
    </row>
    <row r="44" spans="2:14" x14ac:dyDescent="0.2">
      <c r="B44" s="76" t="s">
        <v>542</v>
      </c>
      <c r="C44" s="253">
        <f>0.5*C43*C40*G11*(C42*C42)*2</f>
        <v>0.33</v>
      </c>
      <c r="E44" s="76" t="s">
        <v>542</v>
      </c>
      <c r="F44" s="253">
        <f>0.5*F43*F40*F41*(F42*F42)*2</f>
        <v>0.22499999999999998</v>
      </c>
      <c r="L44" t="s">
        <v>638</v>
      </c>
      <c r="M44" t="s">
        <v>639</v>
      </c>
    </row>
    <row r="45" spans="2:14" x14ac:dyDescent="0.2">
      <c r="B45" s="104" t="s">
        <v>507</v>
      </c>
      <c r="C45" s="210">
        <f>C44*K9</f>
        <v>33.660000000000004</v>
      </c>
      <c r="E45" s="104" t="s">
        <v>507</v>
      </c>
      <c r="F45" s="190">
        <f>F44*K9</f>
        <v>22.95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6"/>
  <sheetViews>
    <sheetView topLeftCell="A73" workbookViewId="0">
      <selection activeCell="C101" sqref="C101"/>
    </sheetView>
  </sheetViews>
  <sheetFormatPr baseColWidth="10" defaultRowHeight="12.75" x14ac:dyDescent="0.2"/>
  <cols>
    <col min="1" max="1" width="10.5703125" customWidth="1"/>
    <col min="2" max="2" width="58.140625" customWidth="1"/>
    <col min="3" max="3" width="12.28515625" customWidth="1"/>
    <col min="4" max="4" width="7.5703125" customWidth="1"/>
    <col min="5" max="5" width="6.28515625" customWidth="1"/>
    <col min="6" max="6" width="7.5703125" customWidth="1"/>
    <col min="7" max="7" width="8.5703125" customWidth="1"/>
    <col min="8" max="8" width="8.7109375" customWidth="1"/>
    <col min="9" max="9" width="8.140625" customWidth="1"/>
    <col min="10" max="10" width="9" customWidth="1"/>
    <col min="11" max="11" width="9.42578125" customWidth="1"/>
    <col min="12" max="12" width="33.140625" customWidth="1"/>
    <col min="13" max="13" width="5.140625" customWidth="1"/>
    <col min="14" max="14" width="7.5703125" customWidth="1"/>
    <col min="15" max="15" width="7.85546875" customWidth="1"/>
    <col min="16" max="16" width="10.42578125" customWidth="1"/>
  </cols>
  <sheetData>
    <row r="2" spans="2:16" x14ac:dyDescent="0.2">
      <c r="B2" s="39" t="s">
        <v>75</v>
      </c>
      <c r="C2" s="62" t="s">
        <v>86</v>
      </c>
    </row>
    <row r="3" spans="2:16" x14ac:dyDescent="0.2">
      <c r="B3" s="42" t="s">
        <v>76</v>
      </c>
      <c r="C3" s="64"/>
    </row>
    <row r="4" spans="2:16" x14ac:dyDescent="0.2">
      <c r="B4" s="38" t="s">
        <v>80</v>
      </c>
      <c r="C4" s="38"/>
    </row>
    <row r="5" spans="2:16" x14ac:dyDescent="0.2">
      <c r="B5" s="39" t="s">
        <v>90</v>
      </c>
      <c r="C5" s="116"/>
    </row>
    <row r="6" spans="2:16" x14ac:dyDescent="0.2">
      <c r="B6" s="89" t="s">
        <v>89</v>
      </c>
      <c r="C6" s="114"/>
    </row>
    <row r="7" spans="2:16" ht="13.5" thickBot="1" x14ac:dyDescent="0.25"/>
    <row r="8" spans="2:16" ht="13.5" thickBot="1" x14ac:dyDescent="0.25">
      <c r="B8" s="125">
        <f>Schwerpunktrechnung!E2</f>
        <v>44096</v>
      </c>
    </row>
    <row r="10" spans="2:16" ht="25.5" x14ac:dyDescent="0.2">
      <c r="B10" s="79" t="s">
        <v>82</v>
      </c>
      <c r="C10" s="109" t="s">
        <v>60</v>
      </c>
      <c r="D10" s="81" t="s">
        <v>61</v>
      </c>
      <c r="E10" s="81" t="s">
        <v>62</v>
      </c>
      <c r="F10" s="81" t="s">
        <v>44</v>
      </c>
      <c r="G10" s="81" t="s">
        <v>0</v>
      </c>
      <c r="I10" s="13"/>
    </row>
    <row r="11" spans="2:16" x14ac:dyDescent="0.2">
      <c r="B11" s="38"/>
      <c r="C11" s="110"/>
      <c r="D11" s="38"/>
      <c r="E11" s="38"/>
      <c r="F11" s="38"/>
      <c r="G11" s="38"/>
    </row>
    <row r="12" spans="2:16" x14ac:dyDescent="0.2">
      <c r="B12" s="38" t="s">
        <v>63</v>
      </c>
      <c r="C12" s="113">
        <v>1.7000000000000001E-2</v>
      </c>
      <c r="D12" s="155">
        <v>4</v>
      </c>
      <c r="E12" s="155">
        <v>65</v>
      </c>
      <c r="F12" s="155">
        <v>730</v>
      </c>
      <c r="G12" s="101">
        <f t="shared" ref="G12:G18" si="0">(C12*D12*E12*F12)/1000</f>
        <v>3.2265999999999999</v>
      </c>
      <c r="I12" s="14"/>
      <c r="L12" s="1"/>
      <c r="M12" s="1"/>
      <c r="N12" s="1"/>
      <c r="O12" s="1"/>
      <c r="P12" s="23"/>
    </row>
    <row r="13" spans="2:16" x14ac:dyDescent="0.2">
      <c r="B13" s="38" t="s">
        <v>64</v>
      </c>
      <c r="C13" s="113">
        <v>0.01</v>
      </c>
      <c r="D13" s="155">
        <v>12</v>
      </c>
      <c r="E13" s="155">
        <v>100</v>
      </c>
      <c r="F13" s="155">
        <v>740</v>
      </c>
      <c r="G13" s="101">
        <f t="shared" si="0"/>
        <v>8.8800000000000008</v>
      </c>
      <c r="I13" s="14"/>
    </row>
    <row r="14" spans="2:16" x14ac:dyDescent="0.2">
      <c r="B14" s="38" t="s">
        <v>65</v>
      </c>
      <c r="C14" s="113">
        <v>0.1</v>
      </c>
      <c r="D14" s="155">
        <v>4</v>
      </c>
      <c r="E14" s="155">
        <v>10</v>
      </c>
      <c r="F14" s="155">
        <v>750</v>
      </c>
      <c r="G14" s="101">
        <f t="shared" si="0"/>
        <v>3</v>
      </c>
      <c r="I14" s="14"/>
      <c r="N14" s="1"/>
    </row>
    <row r="15" spans="2:16" x14ac:dyDescent="0.2">
      <c r="B15" s="38" t="s">
        <v>66</v>
      </c>
      <c r="C15" s="113">
        <v>0.15</v>
      </c>
      <c r="D15" s="155">
        <v>3</v>
      </c>
      <c r="E15" s="155">
        <v>5</v>
      </c>
      <c r="F15" s="155">
        <v>750</v>
      </c>
      <c r="G15" s="101">
        <f t="shared" si="0"/>
        <v>1.6875</v>
      </c>
      <c r="I15" s="14"/>
    </row>
    <row r="16" spans="2:16" x14ac:dyDescent="0.2">
      <c r="B16" s="76" t="s">
        <v>273</v>
      </c>
      <c r="C16" s="113">
        <v>0.3</v>
      </c>
      <c r="D16" s="155">
        <v>3</v>
      </c>
      <c r="E16" s="155">
        <v>5</v>
      </c>
      <c r="F16" s="155">
        <v>750</v>
      </c>
      <c r="G16" s="101">
        <f t="shared" si="0"/>
        <v>3.375</v>
      </c>
      <c r="I16" s="14"/>
    </row>
    <row r="17" spans="2:14" x14ac:dyDescent="0.2">
      <c r="B17" s="38" t="s">
        <v>67</v>
      </c>
      <c r="C17" s="113">
        <v>0.7</v>
      </c>
      <c r="D17" s="155">
        <v>3</v>
      </c>
      <c r="E17" s="155">
        <v>50</v>
      </c>
      <c r="F17" s="155">
        <v>700</v>
      </c>
      <c r="G17" s="101">
        <f t="shared" si="0"/>
        <v>73.499999999999986</v>
      </c>
      <c r="I17" s="14"/>
      <c r="N17" s="1"/>
    </row>
    <row r="18" spans="2:14" x14ac:dyDescent="0.2">
      <c r="B18" s="38" t="s">
        <v>68</v>
      </c>
      <c r="C18" s="113">
        <v>0.85</v>
      </c>
      <c r="D18" s="155">
        <v>0.4</v>
      </c>
      <c r="E18" s="155">
        <v>100</v>
      </c>
      <c r="F18" s="155">
        <v>100</v>
      </c>
      <c r="G18" s="101">
        <f t="shared" si="0"/>
        <v>3.4</v>
      </c>
      <c r="I18" s="14"/>
    </row>
    <row r="19" spans="2:14" x14ac:dyDescent="0.2">
      <c r="B19" s="105" t="s">
        <v>113</v>
      </c>
      <c r="C19" s="113">
        <v>0.04</v>
      </c>
      <c r="D19" s="156">
        <v>5</v>
      </c>
      <c r="E19" s="155">
        <v>45</v>
      </c>
      <c r="F19" s="155">
        <v>620</v>
      </c>
      <c r="G19" s="101">
        <f>(C19*D19*E19*F19)/1000</f>
        <v>5.58</v>
      </c>
      <c r="H19" s="12"/>
      <c r="I19" s="14"/>
    </row>
    <row r="20" spans="2:14" x14ac:dyDescent="0.2">
      <c r="B20" s="38" t="s">
        <v>114</v>
      </c>
      <c r="C20" s="113">
        <v>0.05</v>
      </c>
      <c r="D20" s="156">
        <v>5</v>
      </c>
      <c r="E20" s="155">
        <v>45</v>
      </c>
      <c r="F20" s="155">
        <v>620</v>
      </c>
      <c r="G20" s="101">
        <f>(C20*D20*E20*F20)/1000</f>
        <v>6.9749999999999996</v>
      </c>
      <c r="H20" s="12"/>
      <c r="I20" s="14"/>
    </row>
    <row r="21" spans="2:14" x14ac:dyDescent="0.2">
      <c r="B21" s="38" t="s">
        <v>117</v>
      </c>
      <c r="C21" s="113">
        <v>1.6</v>
      </c>
      <c r="D21" s="156">
        <v>3</v>
      </c>
      <c r="E21" s="155">
        <v>12</v>
      </c>
      <c r="F21" s="155">
        <v>520</v>
      </c>
      <c r="G21" s="101">
        <f>(C21*D21*E21*F21)/1000</f>
        <v>29.952000000000005</v>
      </c>
      <c r="H21" s="12"/>
      <c r="I21" s="14"/>
    </row>
    <row r="22" spans="2:14" x14ac:dyDescent="0.2">
      <c r="B22" s="76" t="s">
        <v>202</v>
      </c>
      <c r="C22" s="113">
        <v>0.55000000000000004</v>
      </c>
      <c r="D22" s="156">
        <v>4</v>
      </c>
      <c r="E22" s="155">
        <v>4</v>
      </c>
      <c r="F22" s="155">
        <v>700</v>
      </c>
      <c r="G22" s="101">
        <f>(C22*D22*E22*F22)/1000</f>
        <v>6.160000000000001</v>
      </c>
      <c r="H22" s="12"/>
      <c r="I22" s="14"/>
    </row>
    <row r="23" spans="2:14" x14ac:dyDescent="0.2">
      <c r="B23" s="38"/>
      <c r="C23" s="113"/>
      <c r="D23" s="135"/>
      <c r="E23" s="83"/>
      <c r="F23" s="83"/>
      <c r="G23" s="101"/>
      <c r="H23" s="12"/>
      <c r="I23" s="14"/>
    </row>
    <row r="24" spans="2:14" x14ac:dyDescent="0.2">
      <c r="B24" s="38"/>
      <c r="C24" s="113"/>
      <c r="D24" s="134" t="s">
        <v>111</v>
      </c>
      <c r="E24" s="106"/>
      <c r="F24" s="106"/>
      <c r="G24" s="112"/>
      <c r="H24" s="12"/>
      <c r="I24" s="14"/>
    </row>
    <row r="25" spans="2:14" x14ac:dyDescent="0.2">
      <c r="B25" s="38"/>
      <c r="C25" s="113"/>
      <c r="D25" s="111"/>
      <c r="E25" s="106"/>
      <c r="F25" s="106"/>
      <c r="G25" s="112"/>
      <c r="H25" s="12"/>
      <c r="I25" s="14"/>
    </row>
    <row r="26" spans="2:14" x14ac:dyDescent="0.2">
      <c r="B26" s="38" t="s">
        <v>110</v>
      </c>
      <c r="C26" s="113">
        <v>3.0525000000000002</v>
      </c>
      <c r="D26" s="111">
        <v>45</v>
      </c>
      <c r="E26" s="106"/>
      <c r="F26" s="106"/>
      <c r="G26" s="101">
        <f>D26/C26</f>
        <v>14.74201474201474</v>
      </c>
      <c r="H26" s="12"/>
      <c r="I26" s="14"/>
    </row>
    <row r="27" spans="2:14" x14ac:dyDescent="0.2">
      <c r="B27" s="38" t="s">
        <v>112</v>
      </c>
      <c r="C27" s="113">
        <v>0.85</v>
      </c>
      <c r="D27" s="111">
        <v>225</v>
      </c>
      <c r="E27" s="106"/>
      <c r="F27" s="106"/>
      <c r="G27" s="101">
        <f>D27*C27</f>
        <v>191.25</v>
      </c>
      <c r="H27" s="12"/>
      <c r="I27" s="14"/>
    </row>
    <row r="28" spans="2:14" x14ac:dyDescent="0.2">
      <c r="B28" s="3"/>
      <c r="C28" s="4"/>
      <c r="D28" s="10"/>
      <c r="E28" s="12"/>
      <c r="F28" s="11"/>
      <c r="G28" s="11"/>
      <c r="H28" s="12"/>
      <c r="I28" s="14"/>
    </row>
    <row r="29" spans="2:14" x14ac:dyDescent="0.2">
      <c r="B29" s="3"/>
      <c r="C29" s="4"/>
      <c r="D29" s="10"/>
      <c r="E29" s="12"/>
      <c r="F29" s="11"/>
      <c r="G29" s="11"/>
      <c r="H29" s="12"/>
      <c r="I29" s="14"/>
    </row>
    <row r="30" spans="2:14" x14ac:dyDescent="0.2">
      <c r="B30" s="3"/>
      <c r="C30" s="4"/>
      <c r="D30" s="10"/>
      <c r="E30" s="12"/>
      <c r="F30" s="11"/>
      <c r="G30" s="11"/>
      <c r="H30" s="12"/>
      <c r="I30" s="14"/>
    </row>
    <row r="31" spans="2:14" x14ac:dyDescent="0.2">
      <c r="B31" s="79" t="s">
        <v>69</v>
      </c>
      <c r="C31" s="109" t="s">
        <v>0</v>
      </c>
      <c r="D31" s="16"/>
      <c r="E31" s="17"/>
      <c r="F31" s="18"/>
      <c r="G31" s="18"/>
      <c r="H31" s="17"/>
      <c r="I31" s="19"/>
    </row>
    <row r="32" spans="2:14" x14ac:dyDescent="0.2">
      <c r="B32" s="38"/>
      <c r="C32" s="110"/>
      <c r="D32" s="10"/>
      <c r="E32" s="12"/>
      <c r="F32" s="11"/>
      <c r="G32" s="11"/>
      <c r="H32" s="12"/>
      <c r="I32" s="14"/>
    </row>
    <row r="33" spans="2:9" x14ac:dyDescent="0.2">
      <c r="B33" s="38" t="s">
        <v>156</v>
      </c>
      <c r="C33" s="173">
        <v>13</v>
      </c>
      <c r="D33" s="10"/>
      <c r="E33" s="12"/>
      <c r="F33" s="11"/>
      <c r="G33" s="11"/>
      <c r="H33" s="12"/>
      <c r="I33" s="14"/>
    </row>
    <row r="34" spans="2:9" x14ac:dyDescent="0.2">
      <c r="B34" s="38" t="s">
        <v>201</v>
      </c>
      <c r="C34" s="117">
        <v>14</v>
      </c>
    </row>
    <row r="35" spans="2:9" x14ac:dyDescent="0.2">
      <c r="B35" s="38" t="s">
        <v>558</v>
      </c>
      <c r="C35" s="117">
        <v>7</v>
      </c>
    </row>
    <row r="36" spans="2:9" x14ac:dyDescent="0.2">
      <c r="B36" s="76" t="s">
        <v>239</v>
      </c>
      <c r="C36" s="117">
        <v>7</v>
      </c>
    </row>
    <row r="37" spans="2:9" x14ac:dyDescent="0.2">
      <c r="B37" s="76" t="s">
        <v>240</v>
      </c>
      <c r="C37" s="117">
        <v>13</v>
      </c>
    </row>
    <row r="38" spans="2:9" x14ac:dyDescent="0.2">
      <c r="B38" s="76" t="s">
        <v>263</v>
      </c>
      <c r="C38" s="117">
        <v>9</v>
      </c>
    </row>
    <row r="39" spans="2:9" x14ac:dyDescent="0.2">
      <c r="B39" s="38" t="s">
        <v>143</v>
      </c>
      <c r="C39" s="117">
        <v>3</v>
      </c>
    </row>
    <row r="40" spans="2:9" x14ac:dyDescent="0.2">
      <c r="B40" s="76" t="s">
        <v>274</v>
      </c>
      <c r="C40" s="117">
        <v>28</v>
      </c>
    </row>
    <row r="41" spans="2:9" x14ac:dyDescent="0.2">
      <c r="B41" s="38" t="s">
        <v>154</v>
      </c>
      <c r="C41" s="117">
        <v>14</v>
      </c>
    </row>
    <row r="42" spans="2:9" x14ac:dyDescent="0.2">
      <c r="B42" s="76" t="s">
        <v>205</v>
      </c>
      <c r="C42" s="117">
        <v>12</v>
      </c>
    </row>
    <row r="43" spans="2:9" x14ac:dyDescent="0.2">
      <c r="B43" s="38" t="s">
        <v>155</v>
      </c>
      <c r="C43" s="117">
        <v>15</v>
      </c>
    </row>
    <row r="44" spans="2:9" x14ac:dyDescent="0.2">
      <c r="B44" s="76" t="s">
        <v>208</v>
      </c>
      <c r="C44" s="117">
        <v>44</v>
      </c>
    </row>
    <row r="45" spans="2:9" x14ac:dyDescent="0.2">
      <c r="B45" s="76" t="s">
        <v>560</v>
      </c>
      <c r="C45" s="117">
        <v>14</v>
      </c>
    </row>
    <row r="46" spans="2:9" x14ac:dyDescent="0.2">
      <c r="B46" s="38" t="s">
        <v>139</v>
      </c>
      <c r="C46" s="117">
        <v>46</v>
      </c>
    </row>
    <row r="47" spans="2:9" x14ac:dyDescent="0.2">
      <c r="B47" s="72" t="s">
        <v>522</v>
      </c>
      <c r="C47" s="117">
        <v>44</v>
      </c>
    </row>
    <row r="48" spans="2:9" x14ac:dyDescent="0.2">
      <c r="B48" s="72" t="s">
        <v>268</v>
      </c>
      <c r="C48" s="117">
        <v>30</v>
      </c>
    </row>
    <row r="49" spans="2:16" x14ac:dyDescent="0.2">
      <c r="B49" s="72" t="s">
        <v>218</v>
      </c>
      <c r="C49" s="117">
        <v>26</v>
      </c>
    </row>
    <row r="50" spans="2:16" x14ac:dyDescent="0.2">
      <c r="B50" s="72" t="s">
        <v>618</v>
      </c>
      <c r="C50" s="117">
        <v>13</v>
      </c>
    </row>
    <row r="51" spans="2:16" x14ac:dyDescent="0.2">
      <c r="B51" s="72" t="s">
        <v>253</v>
      </c>
      <c r="C51" s="117">
        <v>4</v>
      </c>
    </row>
    <row r="52" spans="2:16" x14ac:dyDescent="0.2">
      <c r="B52" s="72" t="s">
        <v>627</v>
      </c>
      <c r="C52" s="117">
        <v>16</v>
      </c>
    </row>
    <row r="53" spans="2:16" x14ac:dyDescent="0.2">
      <c r="B53" s="72" t="s">
        <v>265</v>
      </c>
      <c r="C53" s="117">
        <v>7</v>
      </c>
    </row>
    <row r="54" spans="2:16" x14ac:dyDescent="0.2">
      <c r="B54" s="72" t="s">
        <v>613</v>
      </c>
      <c r="C54" s="117">
        <v>19</v>
      </c>
    </row>
    <row r="55" spans="2:16" x14ac:dyDescent="0.2">
      <c r="B55" s="82" t="s">
        <v>521</v>
      </c>
      <c r="C55" s="117">
        <v>9</v>
      </c>
    </row>
    <row r="56" spans="2:16" x14ac:dyDescent="0.2">
      <c r="B56" s="82" t="s">
        <v>266</v>
      </c>
      <c r="C56" s="117">
        <v>8</v>
      </c>
    </row>
    <row r="57" spans="2:16" x14ac:dyDescent="0.2">
      <c r="B57" s="38" t="s">
        <v>614</v>
      </c>
      <c r="C57" s="117">
        <v>27</v>
      </c>
    </row>
    <row r="58" spans="2:16" x14ac:dyDescent="0.2">
      <c r="B58" s="38" t="s">
        <v>181</v>
      </c>
      <c r="C58" s="117">
        <v>40</v>
      </c>
    </row>
    <row r="59" spans="2:16" x14ac:dyDescent="0.2">
      <c r="B59" s="38" t="s">
        <v>158</v>
      </c>
      <c r="C59" s="117">
        <v>28</v>
      </c>
    </row>
    <row r="60" spans="2:16" x14ac:dyDescent="0.2">
      <c r="B60" s="38" t="s">
        <v>157</v>
      </c>
      <c r="C60" s="117">
        <v>17</v>
      </c>
      <c r="H60" s="1"/>
      <c r="L60" s="1"/>
      <c r="M60" s="1"/>
      <c r="N60" s="1"/>
      <c r="O60" s="1"/>
      <c r="P60" s="21"/>
    </row>
    <row r="61" spans="2:16" x14ac:dyDescent="0.2">
      <c r="B61" s="76" t="s">
        <v>585</v>
      </c>
      <c r="C61" s="117">
        <v>3</v>
      </c>
      <c r="H61" s="1"/>
    </row>
    <row r="62" spans="2:16" x14ac:dyDescent="0.2">
      <c r="B62" s="76" t="s">
        <v>275</v>
      </c>
      <c r="C62" s="117">
        <v>366</v>
      </c>
      <c r="E62" t="s">
        <v>252</v>
      </c>
      <c r="H62" s="1"/>
    </row>
    <row r="63" spans="2:16" x14ac:dyDescent="0.2">
      <c r="B63" s="76" t="s">
        <v>193</v>
      </c>
      <c r="C63" s="117">
        <v>290</v>
      </c>
      <c r="E63" t="s">
        <v>141</v>
      </c>
      <c r="H63" s="1"/>
    </row>
    <row r="64" spans="2:16" x14ac:dyDescent="0.2">
      <c r="B64" s="38" t="s">
        <v>142</v>
      </c>
      <c r="C64" s="117">
        <v>300</v>
      </c>
      <c r="E64" t="s">
        <v>141</v>
      </c>
      <c r="H64" s="1"/>
    </row>
    <row r="65" spans="2:8" x14ac:dyDescent="0.2">
      <c r="B65" s="76" t="s">
        <v>601</v>
      </c>
      <c r="C65" s="117">
        <v>370</v>
      </c>
      <c r="E65" t="s">
        <v>617</v>
      </c>
      <c r="H65" s="1"/>
    </row>
    <row r="66" spans="2:8" x14ac:dyDescent="0.2">
      <c r="B66" s="38" t="s">
        <v>323</v>
      </c>
      <c r="C66" s="117">
        <v>24</v>
      </c>
      <c r="H66" s="1"/>
    </row>
    <row r="67" spans="2:8" x14ac:dyDescent="0.2">
      <c r="B67" s="38"/>
      <c r="C67" s="117"/>
      <c r="H67" s="1"/>
    </row>
    <row r="68" spans="2:8" x14ac:dyDescent="0.2">
      <c r="B68" s="38" t="s">
        <v>131</v>
      </c>
      <c r="C68" s="126">
        <v>0.45</v>
      </c>
      <c r="H68" s="1"/>
    </row>
    <row r="69" spans="2:8" x14ac:dyDescent="0.2">
      <c r="B69" s="76" t="s">
        <v>576</v>
      </c>
      <c r="C69" s="126">
        <v>0.75</v>
      </c>
      <c r="H69" s="1"/>
    </row>
    <row r="70" spans="2:8" x14ac:dyDescent="0.2">
      <c r="B70" s="38" t="s">
        <v>204</v>
      </c>
      <c r="C70" s="126">
        <v>1.2</v>
      </c>
      <c r="H70" s="1"/>
    </row>
    <row r="71" spans="2:8" x14ac:dyDescent="0.2">
      <c r="B71" s="38" t="s">
        <v>109</v>
      </c>
      <c r="C71" s="126">
        <v>46.5</v>
      </c>
      <c r="H71" s="1"/>
    </row>
    <row r="72" spans="2:8" x14ac:dyDescent="0.2">
      <c r="B72" s="38" t="s">
        <v>116</v>
      </c>
      <c r="C72" s="64">
        <v>36</v>
      </c>
    </row>
    <row r="73" spans="2:8" x14ac:dyDescent="0.2">
      <c r="B73" s="38" t="s">
        <v>163</v>
      </c>
      <c r="C73" s="64">
        <v>34</v>
      </c>
    </row>
    <row r="74" spans="2:8" x14ac:dyDescent="0.2">
      <c r="B74" s="38" t="s">
        <v>140</v>
      </c>
      <c r="C74" s="133">
        <v>50</v>
      </c>
    </row>
    <row r="75" spans="2:8" x14ac:dyDescent="0.2">
      <c r="B75" s="105"/>
      <c r="C75" s="105"/>
    </row>
    <row r="76" spans="2:8" x14ac:dyDescent="0.2">
      <c r="B76" s="105"/>
      <c r="C76" s="105"/>
    </row>
    <row r="77" spans="2:8" x14ac:dyDescent="0.2">
      <c r="B77" s="105"/>
      <c r="C77" s="105"/>
    </row>
    <row r="78" spans="2:8" x14ac:dyDescent="0.2">
      <c r="B78" s="104" t="s">
        <v>600</v>
      </c>
      <c r="C78" s="133">
        <v>177</v>
      </c>
    </row>
    <row r="79" spans="2:8" x14ac:dyDescent="0.2">
      <c r="B79" s="104" t="s">
        <v>599</v>
      </c>
      <c r="C79" s="133">
        <v>173</v>
      </c>
    </row>
    <row r="80" spans="2:8" x14ac:dyDescent="0.2">
      <c r="B80" s="104" t="s">
        <v>256</v>
      </c>
      <c r="C80" s="133">
        <v>216</v>
      </c>
    </row>
    <row r="81" spans="2:5" x14ac:dyDescent="0.2">
      <c r="B81" s="104" t="s">
        <v>257</v>
      </c>
      <c r="C81" s="133">
        <v>216</v>
      </c>
    </row>
    <row r="82" spans="2:5" x14ac:dyDescent="0.2">
      <c r="B82" s="105" t="s">
        <v>115</v>
      </c>
      <c r="C82" s="133">
        <v>37</v>
      </c>
    </row>
    <row r="83" spans="2:5" x14ac:dyDescent="0.2">
      <c r="B83" s="105" t="s">
        <v>615</v>
      </c>
      <c r="C83" s="133">
        <v>29</v>
      </c>
      <c r="E83" s="583"/>
    </row>
    <row r="84" spans="2:5" x14ac:dyDescent="0.2">
      <c r="B84" s="104" t="s">
        <v>631</v>
      </c>
      <c r="C84" s="133">
        <v>31</v>
      </c>
      <c r="E84" s="583">
        <v>31</v>
      </c>
    </row>
    <row r="85" spans="2:5" x14ac:dyDescent="0.2">
      <c r="B85" s="104" t="s">
        <v>630</v>
      </c>
      <c r="C85" s="133">
        <v>34</v>
      </c>
      <c r="E85" s="583"/>
    </row>
    <row r="86" spans="2:5" x14ac:dyDescent="0.2">
      <c r="B86" s="104" t="s">
        <v>603</v>
      </c>
      <c r="C86" s="133">
        <v>30</v>
      </c>
      <c r="E86" s="583"/>
    </row>
    <row r="87" spans="2:5" x14ac:dyDescent="0.2">
      <c r="B87" s="104" t="s">
        <v>604</v>
      </c>
      <c r="C87" s="133">
        <v>22</v>
      </c>
      <c r="E87" s="583"/>
    </row>
    <row r="88" spans="2:5" x14ac:dyDescent="0.2">
      <c r="B88" s="105" t="s">
        <v>616</v>
      </c>
      <c r="C88" s="133">
        <v>23</v>
      </c>
    </row>
    <row r="89" spans="2:5" x14ac:dyDescent="0.2">
      <c r="B89" s="105" t="s">
        <v>598</v>
      </c>
      <c r="C89" s="133">
        <v>24</v>
      </c>
    </row>
    <row r="90" spans="2:5" x14ac:dyDescent="0.2">
      <c r="B90" s="104" t="s">
        <v>254</v>
      </c>
      <c r="C90" s="133">
        <v>22</v>
      </c>
    </row>
    <row r="91" spans="2:5" x14ac:dyDescent="0.2">
      <c r="B91" s="104" t="s">
        <v>271</v>
      </c>
      <c r="C91" s="133">
        <v>34</v>
      </c>
    </row>
    <row r="92" spans="2:5" x14ac:dyDescent="0.2">
      <c r="B92" s="105" t="s">
        <v>126</v>
      </c>
      <c r="C92" s="133">
        <v>28</v>
      </c>
    </row>
    <row r="93" spans="2:5" x14ac:dyDescent="0.2">
      <c r="B93" s="105" t="s">
        <v>167</v>
      </c>
      <c r="C93" s="133">
        <v>82</v>
      </c>
    </row>
    <row r="94" spans="2:5" x14ac:dyDescent="0.2">
      <c r="B94" s="104" t="s">
        <v>210</v>
      </c>
      <c r="C94" s="133">
        <v>62</v>
      </c>
    </row>
    <row r="95" spans="2:5" x14ac:dyDescent="0.2">
      <c r="B95" s="104" t="s">
        <v>255</v>
      </c>
      <c r="C95" s="133">
        <v>12</v>
      </c>
    </row>
    <row r="96" spans="2:5" x14ac:dyDescent="0.2">
      <c r="B96" s="104" t="s">
        <v>259</v>
      </c>
      <c r="C96" s="133">
        <v>8</v>
      </c>
    </row>
    <row r="97" spans="2:15" x14ac:dyDescent="0.2">
      <c r="B97" s="104" t="s">
        <v>267</v>
      </c>
      <c r="C97" s="133">
        <v>5</v>
      </c>
    </row>
    <row r="98" spans="2:15" x14ac:dyDescent="0.2">
      <c r="B98" s="105" t="s">
        <v>171</v>
      </c>
      <c r="C98" s="133">
        <v>34</v>
      </c>
    </row>
    <row r="99" spans="2:15" x14ac:dyDescent="0.2">
      <c r="B99" s="104" t="s">
        <v>524</v>
      </c>
      <c r="C99" s="133">
        <v>45</v>
      </c>
    </row>
    <row r="100" spans="2:15" x14ac:dyDescent="0.2">
      <c r="B100" s="104" t="s">
        <v>525</v>
      </c>
      <c r="C100" s="133">
        <v>23</v>
      </c>
    </row>
    <row r="101" spans="2:15" x14ac:dyDescent="0.2">
      <c r="B101" s="104" t="s">
        <v>260</v>
      </c>
      <c r="C101" s="133">
        <v>18</v>
      </c>
    </row>
    <row r="102" spans="2:15" x14ac:dyDescent="0.2">
      <c r="B102" s="9"/>
    </row>
    <row r="103" spans="2:15" ht="25.5" x14ac:dyDescent="0.2">
      <c r="C103" s="109" t="s">
        <v>71</v>
      </c>
      <c r="E103" s="15"/>
      <c r="F103" s="15"/>
      <c r="G103" s="15"/>
      <c r="H103" s="15"/>
      <c r="I103" s="15"/>
      <c r="L103" s="1"/>
    </row>
    <row r="104" spans="2:15" x14ac:dyDescent="0.2">
      <c r="B104" s="79" t="s">
        <v>70</v>
      </c>
      <c r="C104" s="38"/>
    </row>
    <row r="105" spans="2:15" x14ac:dyDescent="0.2">
      <c r="B105" s="38"/>
      <c r="C105" s="232">
        <v>0.1</v>
      </c>
    </row>
    <row r="106" spans="2:15" x14ac:dyDescent="0.2">
      <c r="B106" s="38" t="s">
        <v>230</v>
      </c>
      <c r="C106" s="154">
        <v>0.2</v>
      </c>
    </row>
    <row r="107" spans="2:15" x14ac:dyDescent="0.2">
      <c r="B107" s="38" t="s">
        <v>206</v>
      </c>
      <c r="C107" s="118">
        <v>0.03</v>
      </c>
      <c r="I107" s="21"/>
      <c r="L107" s="23"/>
      <c r="O107" s="23"/>
    </row>
    <row r="108" spans="2:15" x14ac:dyDescent="0.2">
      <c r="B108" s="82" t="s">
        <v>161</v>
      </c>
      <c r="C108" s="153">
        <v>0.114</v>
      </c>
      <c r="I108" s="21"/>
    </row>
    <row r="109" spans="2:15" ht="25.5" x14ac:dyDescent="0.2">
      <c r="B109" s="82" t="s">
        <v>120</v>
      </c>
      <c r="C109" s="153">
        <v>0.24</v>
      </c>
      <c r="I109" s="21"/>
    </row>
    <row r="110" spans="2:15" x14ac:dyDescent="0.2">
      <c r="B110" s="82" t="s">
        <v>159</v>
      </c>
      <c r="C110" s="153">
        <v>0.26</v>
      </c>
      <c r="I110" s="21"/>
    </row>
    <row r="111" spans="2:15" x14ac:dyDescent="0.2">
      <c r="B111" s="82" t="s">
        <v>169</v>
      </c>
      <c r="C111" s="118">
        <v>0.05</v>
      </c>
      <c r="I111" s="21"/>
    </row>
    <row r="112" spans="2:15" x14ac:dyDescent="0.2">
      <c r="B112" s="82" t="s">
        <v>160</v>
      </c>
      <c r="C112" s="118">
        <v>0.03</v>
      </c>
      <c r="I112" s="21"/>
    </row>
    <row r="113" spans="2:15" x14ac:dyDescent="0.2">
      <c r="B113" s="82" t="s">
        <v>107</v>
      </c>
      <c r="C113" s="118">
        <v>0.12</v>
      </c>
      <c r="I113" s="21"/>
    </row>
    <row r="114" spans="2:15" x14ac:dyDescent="0.2">
      <c r="B114" s="38" t="s">
        <v>72</v>
      </c>
      <c r="C114" s="118">
        <v>0.2</v>
      </c>
      <c r="I114" s="21"/>
    </row>
    <row r="115" spans="2:15" x14ac:dyDescent="0.2">
      <c r="B115" s="38" t="s">
        <v>73</v>
      </c>
      <c r="C115" s="153">
        <v>0.2</v>
      </c>
      <c r="I115" s="21"/>
      <c r="O115" s="23"/>
    </row>
    <row r="116" spans="2:15" x14ac:dyDescent="0.2">
      <c r="B116" s="76" t="s">
        <v>221</v>
      </c>
      <c r="C116" s="118">
        <v>0.2</v>
      </c>
      <c r="I116" s="21"/>
      <c r="O116" s="23"/>
    </row>
    <row r="117" spans="2:15" x14ac:dyDescent="0.2">
      <c r="B117" s="38" t="s">
        <v>242</v>
      </c>
      <c r="C117" s="118">
        <v>0.4</v>
      </c>
      <c r="I117" s="21"/>
      <c r="O117" s="23"/>
    </row>
    <row r="118" spans="2:15" x14ac:dyDescent="0.2">
      <c r="B118" s="38" t="s">
        <v>179</v>
      </c>
      <c r="C118" s="118">
        <v>0.4</v>
      </c>
      <c r="I118" s="21"/>
      <c r="O118" s="23"/>
    </row>
    <row r="119" spans="2:15" x14ac:dyDescent="0.2">
      <c r="B119" s="76" t="s">
        <v>248</v>
      </c>
      <c r="C119" s="153">
        <v>0.23</v>
      </c>
      <c r="I119" s="21"/>
      <c r="O119" s="23"/>
    </row>
    <row r="120" spans="2:15" x14ac:dyDescent="0.2">
      <c r="B120" s="38" t="s">
        <v>136</v>
      </c>
      <c r="C120" s="118">
        <v>0.34</v>
      </c>
      <c r="I120" s="21"/>
      <c r="L120" s="20"/>
      <c r="O120" s="23"/>
    </row>
    <row r="121" spans="2:15" x14ac:dyDescent="0.2">
      <c r="B121" s="82" t="s">
        <v>207</v>
      </c>
      <c r="C121" s="118">
        <v>0.3</v>
      </c>
      <c r="I121" s="21"/>
      <c r="L121" s="20"/>
      <c r="O121" s="23"/>
    </row>
    <row r="122" spans="2:15" x14ac:dyDescent="0.2">
      <c r="B122" s="82" t="s">
        <v>628</v>
      </c>
      <c r="C122" s="118">
        <v>0.25</v>
      </c>
      <c r="I122" s="21"/>
      <c r="L122" s="20"/>
      <c r="O122" s="23"/>
    </row>
    <row r="123" spans="2:15" x14ac:dyDescent="0.2">
      <c r="B123" s="82" t="s">
        <v>249</v>
      </c>
      <c r="C123" s="118">
        <v>0.3</v>
      </c>
      <c r="I123" s="21"/>
      <c r="L123" s="20"/>
      <c r="O123" s="23"/>
    </row>
    <row r="124" spans="2:15" x14ac:dyDescent="0.2">
      <c r="B124" s="82" t="s">
        <v>250</v>
      </c>
      <c r="C124" s="118">
        <v>0.25</v>
      </c>
      <c r="I124" s="21"/>
      <c r="L124" s="20"/>
      <c r="O124" s="23"/>
    </row>
    <row r="125" spans="2:15" x14ac:dyDescent="0.2">
      <c r="B125" s="82" t="s">
        <v>172</v>
      </c>
      <c r="C125" s="153">
        <v>0.6</v>
      </c>
      <c r="I125" s="21"/>
    </row>
    <row r="126" spans="2:15" x14ac:dyDescent="0.2">
      <c r="B126" s="72" t="s">
        <v>595</v>
      </c>
      <c r="C126" s="153">
        <f>C121+C125</f>
        <v>0.89999999999999991</v>
      </c>
      <c r="I126" s="21"/>
    </row>
    <row r="127" spans="2:15" x14ac:dyDescent="0.2">
      <c r="B127" s="72" t="s">
        <v>629</v>
      </c>
      <c r="C127" s="118">
        <v>0.5</v>
      </c>
      <c r="I127" s="21"/>
    </row>
    <row r="128" spans="2:15" x14ac:dyDescent="0.2">
      <c r="B128" s="38" t="s">
        <v>74</v>
      </c>
      <c r="C128" s="118">
        <v>0.25</v>
      </c>
      <c r="I128" s="21"/>
    </row>
    <row r="129" spans="2:16" x14ac:dyDescent="0.2">
      <c r="B129" s="38" t="s">
        <v>132</v>
      </c>
      <c r="C129" s="118">
        <v>0.4</v>
      </c>
      <c r="I129" s="21"/>
    </row>
    <row r="130" spans="2:16" x14ac:dyDescent="0.2">
      <c r="B130" s="38" t="s">
        <v>222</v>
      </c>
      <c r="C130" s="118">
        <v>0.83</v>
      </c>
      <c r="I130" s="21"/>
    </row>
    <row r="131" spans="2:16" x14ac:dyDescent="0.2">
      <c r="B131" s="38" t="s">
        <v>223</v>
      </c>
      <c r="C131" s="230">
        <v>1.2</v>
      </c>
      <c r="I131" s="21"/>
    </row>
    <row r="132" spans="2:16" x14ac:dyDescent="0.2">
      <c r="B132" s="38" t="s">
        <v>224</v>
      </c>
      <c r="C132" s="118">
        <v>4.4000000000000004</v>
      </c>
      <c r="I132" s="21"/>
    </row>
    <row r="133" spans="2:16" x14ac:dyDescent="0.2">
      <c r="B133" s="38" t="s">
        <v>225</v>
      </c>
      <c r="C133" s="118"/>
      <c r="I133" s="21"/>
    </row>
    <row r="134" spans="2:16" x14ac:dyDescent="0.2">
      <c r="B134" s="38"/>
      <c r="C134" s="147">
        <v>0.08</v>
      </c>
    </row>
    <row r="135" spans="2:16" x14ac:dyDescent="0.2">
      <c r="B135" s="146" t="s">
        <v>137</v>
      </c>
      <c r="C135" s="147">
        <v>1.1000000000000001</v>
      </c>
    </row>
    <row r="136" spans="2:16" x14ac:dyDescent="0.2">
      <c r="B136" s="38" t="s">
        <v>138</v>
      </c>
      <c r="C136" s="147">
        <v>0.6</v>
      </c>
      <c r="L136" s="1"/>
    </row>
    <row r="137" spans="2:16" x14ac:dyDescent="0.2">
      <c r="B137" s="38" t="s">
        <v>135</v>
      </c>
      <c r="C137" s="147">
        <v>0.4</v>
      </c>
    </row>
    <row r="138" spans="2:16" x14ac:dyDescent="0.2">
      <c r="B138" s="38" t="s">
        <v>134</v>
      </c>
      <c r="C138" s="77"/>
      <c r="D138" s="1"/>
      <c r="E138" s="1"/>
      <c r="F138" s="23"/>
    </row>
    <row r="139" spans="2:16" x14ac:dyDescent="0.2">
      <c r="B139" s="77"/>
    </row>
    <row r="140" spans="2:16" x14ac:dyDescent="0.2">
      <c r="D140" s="1"/>
      <c r="E140" s="22"/>
      <c r="O140" s="1"/>
      <c r="P140" s="23"/>
    </row>
    <row r="141" spans="2:16" x14ac:dyDescent="0.2">
      <c r="C141" s="38"/>
      <c r="D141" s="1"/>
      <c r="E141" s="22"/>
    </row>
    <row r="142" spans="2:16" x14ac:dyDescent="0.2">
      <c r="B142" s="77" t="s">
        <v>98</v>
      </c>
      <c r="C142" s="38"/>
      <c r="D142" s="1"/>
      <c r="E142" s="22"/>
    </row>
    <row r="143" spans="2:16" x14ac:dyDescent="0.2">
      <c r="B143" s="38"/>
      <c r="C143" s="133">
        <v>28.35</v>
      </c>
      <c r="D143" s="1"/>
      <c r="E143" s="22"/>
    </row>
    <row r="144" spans="2:16" x14ac:dyDescent="0.2">
      <c r="B144" s="38" t="s">
        <v>99</v>
      </c>
      <c r="C144" s="133">
        <v>6.4500000000000002E-2</v>
      </c>
      <c r="D144" s="1"/>
      <c r="E144" s="22"/>
      <c r="L144" s="1"/>
      <c r="O144" s="1"/>
      <c r="P144" s="21"/>
    </row>
    <row r="145" spans="2:16" x14ac:dyDescent="0.2">
      <c r="B145" s="38" t="s">
        <v>103</v>
      </c>
      <c r="C145" s="133">
        <v>25.4</v>
      </c>
      <c r="D145" s="1"/>
      <c r="E145" s="22"/>
      <c r="O145" s="1"/>
    </row>
    <row r="146" spans="2:16" x14ac:dyDescent="0.2">
      <c r="B146" s="38" t="s">
        <v>100</v>
      </c>
      <c r="C146" s="133">
        <v>28.35</v>
      </c>
      <c r="D146" s="1"/>
      <c r="E146" s="22"/>
      <c r="O146" s="1"/>
    </row>
    <row r="147" spans="2:16" x14ac:dyDescent="0.2">
      <c r="B147" s="38" t="s">
        <v>101</v>
      </c>
      <c r="C147" s="133">
        <v>9.2899999999999991</v>
      </c>
      <c r="D147" s="1"/>
      <c r="E147" s="22"/>
      <c r="L147" s="26"/>
    </row>
    <row r="148" spans="2:16" x14ac:dyDescent="0.2">
      <c r="B148" s="38" t="s">
        <v>102</v>
      </c>
      <c r="D148" s="1"/>
      <c r="E148" s="22"/>
    </row>
    <row r="149" spans="2:16" x14ac:dyDescent="0.2">
      <c r="D149" s="1"/>
      <c r="E149" s="22"/>
      <c r="O149" s="1"/>
    </row>
    <row r="150" spans="2:16" x14ac:dyDescent="0.2">
      <c r="D150" s="1"/>
      <c r="E150" s="22"/>
      <c r="O150" s="1"/>
    </row>
    <row r="151" spans="2:16" x14ac:dyDescent="0.2">
      <c r="D151" s="1"/>
      <c r="E151" s="22"/>
      <c r="N151" s="1"/>
      <c r="O151" s="1"/>
    </row>
    <row r="152" spans="2:16" x14ac:dyDescent="0.2">
      <c r="D152" s="28"/>
      <c r="E152" s="22"/>
    </row>
    <row r="153" spans="2:16" x14ac:dyDescent="0.2">
      <c r="D153" s="28"/>
      <c r="E153" s="22"/>
    </row>
    <row r="154" spans="2:16" x14ac:dyDescent="0.2">
      <c r="D154" s="1"/>
      <c r="E154" s="22"/>
      <c r="L154" s="1"/>
      <c r="P154" s="23"/>
    </row>
    <row r="155" spans="2:16" x14ac:dyDescent="0.2">
      <c r="D155" s="1"/>
      <c r="E155" s="22"/>
      <c r="L155" s="1"/>
      <c r="P155" s="23"/>
    </row>
    <row r="156" spans="2:16" x14ac:dyDescent="0.2">
      <c r="D156" s="1"/>
      <c r="E156" s="22"/>
    </row>
    <row r="157" spans="2:16" x14ac:dyDescent="0.2">
      <c r="D157" s="1"/>
      <c r="E157" s="22"/>
    </row>
    <row r="158" spans="2:16" x14ac:dyDescent="0.2">
      <c r="D158" s="1"/>
      <c r="E158" s="22"/>
    </row>
    <row r="159" spans="2:16" x14ac:dyDescent="0.2">
      <c r="D159" s="1"/>
      <c r="E159" s="22"/>
    </row>
    <row r="160" spans="2:16" x14ac:dyDescent="0.2">
      <c r="D160" s="1"/>
      <c r="E160" s="22"/>
    </row>
    <row r="161" spans="2:8" x14ac:dyDescent="0.2">
      <c r="C161" s="1"/>
      <c r="D161" s="1"/>
      <c r="E161" s="14"/>
      <c r="H161" s="21"/>
    </row>
    <row r="162" spans="2:8" x14ac:dyDescent="0.2">
      <c r="B162" s="1"/>
    </row>
    <row r="163" spans="2:8" x14ac:dyDescent="0.2">
      <c r="E163" s="1"/>
    </row>
    <row r="164" spans="2:8" x14ac:dyDescent="0.2">
      <c r="E164" s="1"/>
    </row>
    <row r="165" spans="2:8" x14ac:dyDescent="0.2">
      <c r="E165" s="14"/>
    </row>
    <row r="166" spans="2:8" x14ac:dyDescent="0.2">
      <c r="B166" s="1"/>
      <c r="E166" s="1"/>
    </row>
    <row r="167" spans="2:8" x14ac:dyDescent="0.2">
      <c r="E167" s="1"/>
    </row>
    <row r="168" spans="2:8" x14ac:dyDescent="0.2">
      <c r="E168" s="1"/>
    </row>
    <row r="169" spans="2:8" x14ac:dyDescent="0.2">
      <c r="E169" s="1"/>
    </row>
    <row r="170" spans="2:8" x14ac:dyDescent="0.2">
      <c r="B170" s="1"/>
      <c r="E170" s="1"/>
    </row>
    <row r="171" spans="2:8" x14ac:dyDescent="0.2">
      <c r="D171" s="1"/>
      <c r="E171" s="22"/>
    </row>
    <row r="172" spans="2:8" x14ac:dyDescent="0.2">
      <c r="D172" s="1"/>
      <c r="E172" s="22"/>
    </row>
    <row r="173" spans="2:8" x14ac:dyDescent="0.2">
      <c r="D173" s="1"/>
      <c r="E173" s="22"/>
    </row>
    <row r="174" spans="2:8" x14ac:dyDescent="0.2">
      <c r="D174" s="1"/>
      <c r="E174" s="22"/>
    </row>
    <row r="175" spans="2:8" x14ac:dyDescent="0.2">
      <c r="E175" s="22"/>
    </row>
    <row r="176" spans="2:8" x14ac:dyDescent="0.2">
      <c r="B176" s="1"/>
    </row>
    <row r="180" spans="2:8" x14ac:dyDescent="0.2">
      <c r="B180" s="1"/>
      <c r="D180" s="1"/>
      <c r="E180" s="1"/>
    </row>
    <row r="181" spans="2:8" x14ac:dyDescent="0.2">
      <c r="D181" s="1"/>
      <c r="E181" s="1"/>
    </row>
    <row r="182" spans="2:8" x14ac:dyDescent="0.2">
      <c r="D182" s="1"/>
      <c r="E182" s="1"/>
    </row>
    <row r="183" spans="2:8" x14ac:dyDescent="0.2">
      <c r="D183" s="1"/>
    </row>
    <row r="185" spans="2:8" x14ac:dyDescent="0.2">
      <c r="C185" s="1"/>
      <c r="D185" s="1"/>
      <c r="E185" s="1"/>
    </row>
    <row r="186" spans="2:8" x14ac:dyDescent="0.2">
      <c r="B186" s="1"/>
    </row>
    <row r="188" spans="2:8" x14ac:dyDescent="0.2">
      <c r="C188" s="1"/>
      <c r="D188" s="1"/>
      <c r="E188" s="30"/>
      <c r="H188" s="22"/>
    </row>
    <row r="189" spans="2:8" x14ac:dyDescent="0.2">
      <c r="B189" s="1"/>
    </row>
    <row r="190" spans="2:8" x14ac:dyDescent="0.2">
      <c r="D190" s="29"/>
    </row>
    <row r="193" spans="1:10" x14ac:dyDescent="0.2">
      <c r="A193" s="1"/>
      <c r="C193" s="1"/>
      <c r="D193" s="1"/>
      <c r="E193" s="1"/>
      <c r="F193" s="23"/>
    </row>
    <row r="194" spans="1:10" x14ac:dyDescent="0.2">
      <c r="B194" s="1"/>
    </row>
    <row r="195" spans="1:10" x14ac:dyDescent="0.2">
      <c r="C195" s="1"/>
      <c r="D195" s="27"/>
      <c r="E195" s="1"/>
      <c r="J195" s="25"/>
    </row>
    <row r="196" spans="1:10" x14ac:dyDescent="0.2">
      <c r="B196" s="24"/>
      <c r="C196" s="1"/>
      <c r="D196" s="27"/>
      <c r="E196" s="1"/>
    </row>
    <row r="197" spans="1:10" x14ac:dyDescent="0.2">
      <c r="B197" s="24"/>
      <c r="C197" s="1"/>
      <c r="D197" s="1"/>
      <c r="E197" s="1"/>
    </row>
    <row r="198" spans="1:10" x14ac:dyDescent="0.2">
      <c r="B198" s="24"/>
      <c r="C198" s="1"/>
      <c r="D198" s="1"/>
      <c r="E198" s="1"/>
    </row>
    <row r="199" spans="1:10" x14ac:dyDescent="0.2">
      <c r="C199" s="1"/>
      <c r="D199" s="1"/>
      <c r="E199" s="1"/>
    </row>
    <row r="200" spans="1:10" x14ac:dyDescent="0.2">
      <c r="C200" s="1"/>
      <c r="D200" s="1"/>
      <c r="E200" s="1"/>
    </row>
    <row r="201" spans="1:10" x14ac:dyDescent="0.2">
      <c r="C201" s="1"/>
      <c r="D201" s="1"/>
      <c r="E201" s="1"/>
    </row>
    <row r="202" spans="1:10" x14ac:dyDescent="0.2">
      <c r="C202" s="1"/>
      <c r="D202" s="1"/>
      <c r="E202" s="1"/>
    </row>
    <row r="203" spans="1:10" x14ac:dyDescent="0.2">
      <c r="C203" s="1"/>
      <c r="D203" s="1"/>
      <c r="E203" s="1"/>
    </row>
    <row r="204" spans="1:10" x14ac:dyDescent="0.2">
      <c r="C204" s="1"/>
      <c r="D204" s="1"/>
      <c r="E204" s="1"/>
    </row>
    <row r="205" spans="1:10" x14ac:dyDescent="0.2">
      <c r="C205" s="1"/>
      <c r="D205" s="1"/>
      <c r="E205" s="1"/>
    </row>
    <row r="207" spans="1:10" x14ac:dyDescent="0.2">
      <c r="C207" s="1"/>
      <c r="D207" s="1"/>
      <c r="E207" s="1"/>
      <c r="G207" s="21"/>
    </row>
    <row r="208" spans="1:10" x14ac:dyDescent="0.2">
      <c r="B208" s="1"/>
    </row>
    <row r="210" spans="2:7" x14ac:dyDescent="0.2">
      <c r="B210" s="26"/>
    </row>
    <row r="211" spans="2:7" x14ac:dyDescent="0.2">
      <c r="C211" s="1"/>
      <c r="D211" s="1"/>
      <c r="E211" s="1"/>
    </row>
    <row r="212" spans="2:7" x14ac:dyDescent="0.2">
      <c r="C212" s="1"/>
      <c r="D212" s="1"/>
      <c r="E212" s="1"/>
    </row>
    <row r="213" spans="2:7" x14ac:dyDescent="0.2">
      <c r="C213" s="1"/>
      <c r="D213" s="1"/>
      <c r="E213" s="1"/>
    </row>
    <row r="215" spans="2:7" x14ac:dyDescent="0.2">
      <c r="C215" s="1"/>
      <c r="D215" s="1"/>
      <c r="E215" s="1"/>
      <c r="G215" s="21"/>
    </row>
    <row r="216" spans="2:7" x14ac:dyDescent="0.2">
      <c r="B216" s="1"/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Schwerpunktrechnung</vt:lpstr>
      <vt:lpstr>Daten und Rechnungen</vt:lpstr>
      <vt:lpstr>Antrieb, Fahrwerk, Momente</vt:lpstr>
      <vt:lpstr>Rumpf &amp; Seitenleitwerk</vt:lpstr>
      <vt:lpstr>Höhenleitwerk</vt:lpstr>
      <vt:lpstr>Tragfläche &amp; Klappen</vt:lpstr>
      <vt:lpstr>Abmessungen</vt:lpstr>
      <vt:lpstr>Formeln</vt:lpstr>
      <vt:lpstr>Gewichte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D. Germann</dc:creator>
  <cp:lastModifiedBy>Peter Germann</cp:lastModifiedBy>
  <cp:lastPrinted>2016-01-21T13:04:22Z</cp:lastPrinted>
  <dcterms:created xsi:type="dcterms:W3CDTF">2006-02-08T15:19:35Z</dcterms:created>
  <dcterms:modified xsi:type="dcterms:W3CDTF">2020-09-22T12:49:55Z</dcterms:modified>
</cp:coreProperties>
</file>