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75" windowWidth="11310" windowHeight="10695" tabRatio="890" activeTab="0"/>
  </bookViews>
  <sheets>
    <sheet name="Schwerpunktrechnung" sheetId="1" r:id="rId1"/>
    <sheet name="Antrieb, Fahrwerk und V CG" sheetId="2" r:id="rId2"/>
    <sheet name="Rumpf &amp; Seitenruder" sheetId="3" r:id="rId3"/>
    <sheet name="Höhenleitwerk" sheetId="4" r:id="rId4"/>
    <sheet name="Tragfläche &amp; Klappen" sheetId="5" r:id="rId5"/>
    <sheet name="Abmessungen" sheetId="6" r:id="rId6"/>
    <sheet name="Gewichte" sheetId="7" r:id="rId7"/>
  </sheets>
  <definedNames/>
  <calcPr fullCalcOnLoad="1"/>
</workbook>
</file>

<file path=xl/sharedStrings.xml><?xml version="1.0" encoding="utf-8"?>
<sst xmlns="http://schemas.openxmlformats.org/spreadsheetml/2006/main" count="557" uniqueCount="374">
  <si>
    <t>Gewicht</t>
  </si>
  <si>
    <t>Arm</t>
  </si>
  <si>
    <t>Moment</t>
  </si>
  <si>
    <t>Gr/qdm</t>
  </si>
  <si>
    <t>qdm</t>
  </si>
  <si>
    <t>Scharnier Flaps - Scharnier Höhenruder</t>
  </si>
  <si>
    <t>Tragfläche und  Klappen</t>
  </si>
  <si>
    <t>Mittlere Flächentiefe</t>
  </si>
  <si>
    <t>Spannweite</t>
  </si>
  <si>
    <t>Flächentiefe am Randbogen, inkl. Klappen</t>
  </si>
  <si>
    <t>Flächentiefe am Randbogen, ohne Klappen</t>
  </si>
  <si>
    <t>Flächentiefe Rumpfmitte, inkl. Klappen</t>
  </si>
  <si>
    <t>Klappentiefe am Rumpf</t>
  </si>
  <si>
    <t>Klappentiefe am Randbogen</t>
  </si>
  <si>
    <t>Klappentiefe bei mittlerer Flächentiefe</t>
  </si>
  <si>
    <t>Anteil Klappen am Flächeninhalt der Tragfläche</t>
  </si>
  <si>
    <t>Anteil Höhenleitwerk am Flächeninhalt der Tragfläche</t>
  </si>
  <si>
    <t>Anteil Höhenruder am Flächeninhalt des Höhenleitwerkes</t>
  </si>
  <si>
    <t>Profil (modifiziert)</t>
  </si>
  <si>
    <t xml:space="preserve">Dicke </t>
  </si>
  <si>
    <t xml:space="preserve">Maximale Dicke </t>
  </si>
  <si>
    <t>Höhenleitwerk</t>
  </si>
  <si>
    <t>NACA 009</t>
  </si>
  <si>
    <t>Tiefe Leitwerk Mitte, inkl. Ruder</t>
  </si>
  <si>
    <t>Tiefe Leitwerk am Randbogen, inkl. Ruder</t>
  </si>
  <si>
    <t>Tiefe Stabilo in der Mitte</t>
  </si>
  <si>
    <t>Tiefe Stabilo am Randbogen</t>
  </si>
  <si>
    <t>Tiefe Höhenruder Mitte</t>
  </si>
  <si>
    <t>Tiefe Höhenruder am Randbogen</t>
  </si>
  <si>
    <t>Flächeninhalt Stabilo, qdm</t>
  </si>
  <si>
    <t>Flächeninhalt Höhenleitwerk, qdm</t>
  </si>
  <si>
    <t>Flächeninhalt Tragfläche, inkl. Klappen, qdm</t>
  </si>
  <si>
    <t>Flächeninhalt Klappen (2), qdm</t>
  </si>
  <si>
    <t>Rumpf</t>
  </si>
  <si>
    <t>Rückseite Spinner</t>
  </si>
  <si>
    <t>Rohbau</t>
  </si>
  <si>
    <t>Bespannung &amp; Lackierung</t>
  </si>
  <si>
    <t>2-k Klarlack</t>
  </si>
  <si>
    <t>Polyspan</t>
  </si>
  <si>
    <t>Tragfläche</t>
  </si>
  <si>
    <t>Flächeninhalt (ohne Klappen) qdm</t>
  </si>
  <si>
    <t>Gewicht / Stück</t>
  </si>
  <si>
    <t>Endholm</t>
  </si>
  <si>
    <t>Beplankung Endholm 1.5</t>
  </si>
  <si>
    <t>Aufleimer Rippen</t>
  </si>
  <si>
    <t>Steuerkabel und Anschlüsse</t>
  </si>
  <si>
    <t>Randbogen innen</t>
  </si>
  <si>
    <t>Mittlere Verlängerung der Klappen</t>
  </si>
  <si>
    <t>Scharniere</t>
  </si>
  <si>
    <t>Feinschliff</t>
  </si>
  <si>
    <r>
      <t xml:space="preserve">Anzahl </t>
    </r>
    <r>
      <rPr>
        <sz val="10"/>
        <rFont val="Arial"/>
        <family val="2"/>
      </rPr>
      <t>(St. od. qdm)</t>
    </r>
  </si>
  <si>
    <r>
      <t xml:space="preserve">Arm </t>
    </r>
    <r>
      <rPr>
        <sz val="10"/>
        <rFont val="Arial"/>
        <family val="2"/>
      </rPr>
      <t>(mm)</t>
    </r>
  </si>
  <si>
    <t>Anzahl Anstriche</t>
  </si>
  <si>
    <t>Schwerpunkt, ab Flügelnase Rumpfwand</t>
  </si>
  <si>
    <t>Schwerpunkt, ab Rückplatte Spinner</t>
  </si>
  <si>
    <t>Klappen</t>
  </si>
  <si>
    <t>Flächeninhalt, beide (qdm)</t>
  </si>
  <si>
    <t>Scharnierlinie</t>
  </si>
  <si>
    <r>
      <t xml:space="preserve">Anzahl </t>
    </r>
    <r>
      <rPr>
        <sz val="10"/>
        <rFont val="Arial"/>
        <family val="2"/>
      </rPr>
      <t>(St. / qdm)</t>
    </r>
  </si>
  <si>
    <t>Klappen, lackiert</t>
  </si>
  <si>
    <t>Schwerpunkt, ab Scharnierlinie</t>
  </si>
  <si>
    <t>Tragfläche, mit Klappen, lackiert</t>
  </si>
  <si>
    <t>Flächeninhalt, qdm</t>
  </si>
  <si>
    <t>Flächeninhalt, insq</t>
  </si>
  <si>
    <t>Gewicht pro qdm</t>
  </si>
  <si>
    <t>Ausgangspunkt Schwerpunkt-Arm</t>
  </si>
  <si>
    <t>Rohbau, geschliffen</t>
  </si>
  <si>
    <t>Stabilo</t>
  </si>
  <si>
    <t>Flächeninhalt (ohne Höhenruder) qdm</t>
  </si>
  <si>
    <t>Randbogen</t>
  </si>
  <si>
    <t>Mittenverlängerung Höhenruder</t>
  </si>
  <si>
    <t>Aufnahme Horn</t>
  </si>
  <si>
    <t>Höhenleitwerk, lackiert</t>
  </si>
  <si>
    <t>Rumpf und Seitensteuer</t>
  </si>
  <si>
    <t>Länge</t>
  </si>
  <si>
    <t>Mittlere Breite</t>
  </si>
  <si>
    <t>Mittlere Höhe (ohne Seitensteuer)</t>
  </si>
  <si>
    <t>Oberfläche</t>
  </si>
  <si>
    <t>Seitenfläche</t>
  </si>
  <si>
    <t>Wartungsdeckel Klappen, mit Schrauben</t>
  </si>
  <si>
    <t>Rumpf, ohne Seitensteuer, lackiert</t>
  </si>
  <si>
    <t>Flächeninhalt</t>
  </si>
  <si>
    <t>Oberfläche Rumpf</t>
  </si>
  <si>
    <t>Seitensteuer, lackiert</t>
  </si>
  <si>
    <t>Rumpf, mit Seitensteuer, lackiert</t>
  </si>
  <si>
    <t>Flächeninhalt Seitensteuer</t>
  </si>
  <si>
    <t>Antrieb und Fahrwerk</t>
  </si>
  <si>
    <t xml:space="preserve">Anzahl </t>
  </si>
  <si>
    <t>Heckfahrwerk</t>
  </si>
  <si>
    <t>Antrieb</t>
  </si>
  <si>
    <t>Schwerpunkt ab Rückseite Spinner</t>
  </si>
  <si>
    <t>Trimmgewicht Heck</t>
  </si>
  <si>
    <t>Trimmgewicht Nase</t>
  </si>
  <si>
    <t>Höhenruder, lackiert</t>
  </si>
  <si>
    <t>Rohbau Holz, geschliffen</t>
  </si>
  <si>
    <t>Mechanik</t>
  </si>
  <si>
    <t>Schwerpunkt in % mittlere Flächentiefe MAC</t>
  </si>
  <si>
    <t>Finish, ab Holz geschliffen</t>
  </si>
  <si>
    <t>Dichte</t>
  </si>
  <si>
    <t>Dicke mm</t>
  </si>
  <si>
    <t>Breite mm</t>
  </si>
  <si>
    <t>Schaumstoff "Exporit"</t>
  </si>
  <si>
    <t>Styropor 10</t>
  </si>
  <si>
    <t>Balsa leicht</t>
  </si>
  <si>
    <t>Balsa mittel</t>
  </si>
  <si>
    <t>Sperrholz leicht</t>
  </si>
  <si>
    <t>Sperrholz hart</t>
  </si>
  <si>
    <t>Komponenten</t>
  </si>
  <si>
    <t>Steuerkabel 0.6 mm (0.024") x 900 mm</t>
  </si>
  <si>
    <t>GFK Schubstange, lang, mit 2 Gewindeeinsätzen</t>
  </si>
  <si>
    <t>GFK Schubstange, kurz, mit 2 Gewindeeinsätzen</t>
  </si>
  <si>
    <t>Kugelgelenk 3 mm, mit Schraube und Stehbolzen</t>
  </si>
  <si>
    <t>Steuerdreieck 10 cm, mit Achse</t>
  </si>
  <si>
    <t>Horn Höhensteuer 2.5 mm</t>
  </si>
  <si>
    <t>Horn Höhensteuer 3.2 mm</t>
  </si>
  <si>
    <t>Horn Klappen 2.5 mm</t>
  </si>
  <si>
    <t>Horn Klappen 3.2 mm</t>
  </si>
  <si>
    <t>Kurze Schubstange, Stahldraht 2.5 mm. verlötet</t>
  </si>
  <si>
    <t>Heckrad, inkl. Rad</t>
  </si>
  <si>
    <t>Beschichtungen und Oberflächen</t>
  </si>
  <si>
    <t>Gramm pro qdm</t>
  </si>
  <si>
    <t>Seide Esaki No. 3</t>
  </si>
  <si>
    <t>Seide Ciolina</t>
  </si>
  <si>
    <t>Polyspan, aufgeklebt mit Spannlack</t>
  </si>
  <si>
    <t xml:space="preserve">Epoxy Glaslaminat 25 Gr. </t>
  </si>
  <si>
    <t xml:space="preserve">Epoxy Carbonlaminat 68 Gr. </t>
  </si>
  <si>
    <t>Beplankungsverklebung Epoxy auf Schaumstoff</t>
  </si>
  <si>
    <t>Eingabewerte</t>
  </si>
  <si>
    <t>Gespeicherte Festwerte</t>
  </si>
  <si>
    <r>
      <t xml:space="preserve">Anzahl </t>
    </r>
    <r>
      <rPr>
        <sz val="10"/>
        <color indexed="8"/>
        <rFont val="Arial"/>
        <family val="0"/>
      </rPr>
      <t>(St. od. qdm)</t>
    </r>
  </si>
  <si>
    <r>
      <t xml:space="preserve">Arm </t>
    </r>
    <r>
      <rPr>
        <sz val="10"/>
        <color indexed="8"/>
        <rFont val="Arial"/>
        <family val="0"/>
      </rPr>
      <t>(mm)</t>
    </r>
  </si>
  <si>
    <r>
      <t xml:space="preserve">Anzahl </t>
    </r>
    <r>
      <rPr>
        <sz val="10"/>
        <color indexed="8"/>
        <rFont val="Arial"/>
        <family val="0"/>
      </rPr>
      <t>(St. / qdm)</t>
    </r>
  </si>
  <si>
    <t>Detailgewichte und Hilfswerte</t>
  </si>
  <si>
    <t>Schwerpunkt, ab  Scharnierlinie</t>
  </si>
  <si>
    <r>
      <t xml:space="preserve">Abmessungen </t>
    </r>
    <r>
      <rPr>
        <sz val="12"/>
        <rFont val="Arial"/>
        <family val="2"/>
      </rPr>
      <t>(mm oder qdm)</t>
    </r>
  </si>
  <si>
    <t>Gewichtsrechner</t>
  </si>
  <si>
    <t>oz.</t>
  </si>
  <si>
    <t>Gewicht Gramm</t>
  </si>
  <si>
    <t>Gewicht oz.</t>
  </si>
  <si>
    <t>Trimmgewichte</t>
  </si>
  <si>
    <t>Gr./qdm/mm</t>
  </si>
  <si>
    <t>Gramm</t>
  </si>
  <si>
    <t>Leim &amp; Spachtel, Übergänge</t>
  </si>
  <si>
    <t>Unterbaugruppe</t>
  </si>
  <si>
    <r>
      <t xml:space="preserve">Aus Unterbaugruppen, </t>
    </r>
    <r>
      <rPr>
        <sz val="10"/>
        <color indexed="10"/>
        <rFont val="Arial"/>
        <family val="2"/>
      </rPr>
      <t>nicht überschreiben</t>
    </r>
  </si>
  <si>
    <r>
      <t>Resultate,</t>
    </r>
    <r>
      <rPr>
        <b/>
        <sz val="10"/>
        <color indexed="10"/>
        <rFont val="Arial"/>
        <family val="2"/>
      </rPr>
      <t xml:space="preserve"> nicht überschreiben</t>
    </r>
  </si>
  <si>
    <t>Klappenlänge innen</t>
  </si>
  <si>
    <t>Klappenlänge aussen</t>
  </si>
  <si>
    <t>Länge Höhenruder  (2x)</t>
  </si>
  <si>
    <t>Stand</t>
  </si>
  <si>
    <t>Beginn</t>
  </si>
  <si>
    <t>Profil (mod. D=18% R n = 8 mm)</t>
  </si>
  <si>
    <t>Nasenholm 2 x 10</t>
  </si>
  <si>
    <t>Scharnier BH-929 (18 mm)</t>
  </si>
  <si>
    <t>Abstützung 1.5  Hauptholme 1.5 x 30 x 50</t>
  </si>
  <si>
    <t>Dauer, Tage</t>
  </si>
  <si>
    <t>Nasenholm 12 x 12</t>
  </si>
  <si>
    <t>Beplankung und Capstrips</t>
  </si>
  <si>
    <r>
      <t xml:space="preserve">Festwerte, </t>
    </r>
    <r>
      <rPr>
        <b/>
        <sz val="10"/>
        <color indexed="10"/>
        <rFont val="Arial"/>
        <family val="2"/>
      </rPr>
      <t>nicht überschreiben</t>
    </r>
  </si>
  <si>
    <r>
      <t xml:space="preserve">Aus Unterbaugruppen, </t>
    </r>
    <r>
      <rPr>
        <b/>
        <sz val="10"/>
        <color indexed="10"/>
        <rFont val="Arial"/>
        <family val="2"/>
      </rPr>
      <t>nicht überschreiben</t>
    </r>
  </si>
  <si>
    <t>Fertigschliff</t>
  </si>
  <si>
    <t>Flächeninhalt Höhenruder (2), qdm</t>
  </si>
  <si>
    <t>US Masse</t>
  </si>
  <si>
    <t>1 oz. / Gramm</t>
  </si>
  <si>
    <t>1 inch / mm</t>
  </si>
  <si>
    <t>1 fl. oz / ccm</t>
  </si>
  <si>
    <t>1 sq. ft / qdm</t>
  </si>
  <si>
    <t>1 sq. in / qdm</t>
  </si>
  <si>
    <t>Flächeninhalt Tragfläche, inkl. Klappen, sq.in</t>
  </si>
  <si>
    <t>Flächenbelastung Gramm/qdm</t>
  </si>
  <si>
    <t xml:space="preserve">Flächenbelastung oz/sq.ft </t>
  </si>
  <si>
    <t>Silkspan 00 light</t>
  </si>
  <si>
    <t>Silkspan GM medium</t>
  </si>
  <si>
    <t>Silkspan 00 aufgeklebt mit Spannlack</t>
  </si>
  <si>
    <t>Spannlack 80% verd. + Silber, gespritzt</t>
  </si>
  <si>
    <t>Rumpf, bespannt und grundiert (Silber)</t>
  </si>
  <si>
    <t>Seitensteuer, bespannt und grundiert (Silber)</t>
  </si>
  <si>
    <t>Stabilo, bespannt &amp; grundiert (Silber)</t>
  </si>
  <si>
    <t>Stabilo, lackiert</t>
  </si>
  <si>
    <t>Höhenruder, besp. &amp; grundiert (Silber)</t>
  </si>
  <si>
    <t>Tragfläche, lackiert</t>
  </si>
  <si>
    <t xml:space="preserve">Epoxy Glaslaminat 40 Gr. </t>
  </si>
  <si>
    <t>Laminat Rumpfnase &amp; Versch. (Glas/Epoxy)</t>
  </si>
  <si>
    <t>NACA 018</t>
  </si>
  <si>
    <t>Oberfläche Flugzeug, qdm</t>
  </si>
  <si>
    <t>Bespannung &amp; Spannlack</t>
  </si>
  <si>
    <t>Basislack</t>
  </si>
  <si>
    <t>Klarlack</t>
  </si>
  <si>
    <t>Finish</t>
  </si>
  <si>
    <t>2-k Decklack Polyurethan, klar, 10% verdünnt</t>
  </si>
  <si>
    <t>Leinen 0.45 x 18 m mit Anschlüssen</t>
  </si>
  <si>
    <t>Leinen 0.45 x 20.3 m mit Anschlüssen</t>
  </si>
  <si>
    <r>
      <t xml:space="preserve">Gewichtsausgleich Fläche </t>
    </r>
    <r>
      <rPr>
        <sz val="10"/>
        <rFont val="Arial"/>
        <family val="2"/>
      </rPr>
      <t>aussen</t>
    </r>
  </si>
  <si>
    <t>Gr./qdm zu oz/sq ft</t>
  </si>
  <si>
    <t>Anz.</t>
  </si>
  <si>
    <t xml:space="preserve">Treibstoff (cc) </t>
  </si>
  <si>
    <t>Schwerpunkt am Rumpf, von vorn</t>
  </si>
  <si>
    <t>Klappen, bespannt &amp; grundiert</t>
  </si>
  <si>
    <t>Beplankung 1.5 mm</t>
  </si>
  <si>
    <t>Silkspan Medium</t>
  </si>
  <si>
    <t>Silkspan Medium aufgeklebt mit Spannlack</t>
  </si>
  <si>
    <t>Depron Kern, 5 mm</t>
  </si>
  <si>
    <t>Depron Heerdegen</t>
  </si>
  <si>
    <t>Rohacell 51</t>
  </si>
  <si>
    <t>Datum</t>
  </si>
  <si>
    <t>Propeller 13" 3 bl BE</t>
  </si>
  <si>
    <t>Profilmitte</t>
  </si>
  <si>
    <t>Prop</t>
  </si>
  <si>
    <t>Spinner</t>
  </si>
  <si>
    <t>Motor</t>
  </si>
  <si>
    <t>Vertikale Momente</t>
  </si>
  <si>
    <t>Datum Profilmitte</t>
  </si>
  <si>
    <t>Rad Lite Flite 51 mm (2)</t>
  </si>
  <si>
    <t>Leinen 0.39 x 19.5 m mit Anschlüssen</t>
  </si>
  <si>
    <t>ab Profilmitte</t>
  </si>
  <si>
    <t>Rollmoment</t>
  </si>
  <si>
    <t>CFK Bauteile</t>
  </si>
  <si>
    <t>Schubstange Höhenruder mit Kugelgelenk HR</t>
  </si>
  <si>
    <t>Kohlevlies R&amp;G  8 Gr.  No. 190.2888 (Fr. 29.- qm)</t>
  </si>
  <si>
    <t>Seitenleitwerk</t>
  </si>
  <si>
    <t>Verstellbares Horn, 3 mm</t>
  </si>
  <si>
    <t>Radverschalung GFK (2)lackiert</t>
  </si>
  <si>
    <t>Flächentiefe Rumpfmitte, ohne Klappen</t>
  </si>
  <si>
    <t>Länge Tragfläche innen, mit Randbogen (40 mm)</t>
  </si>
  <si>
    <t>Länge Tragfläche aussen, mit Randbogen (40mm)</t>
  </si>
  <si>
    <t>Spannweite, mit Randbogen  (2x20mm)</t>
  </si>
  <si>
    <t>Flügelnase Mitte Rumpf</t>
  </si>
  <si>
    <t>Steuerdreieck mit Achse &amp; 2 Gelenken</t>
  </si>
  <si>
    <t>Leadout Position für 19.5x0.4,mm., ab Schwerpunkt, nach hinten (Line III)</t>
  </si>
  <si>
    <t>Leadout Position für 19.5x0.4,mm., von Scharnier Flaps nach vorne</t>
  </si>
  <si>
    <t>Rippe 13 innen, mit Kabelführung</t>
  </si>
  <si>
    <t>Träger Steuerdreieck, 2.5 mm Lite-ply</t>
  </si>
  <si>
    <t>1.7.2010</t>
  </si>
  <si>
    <t xml:space="preserve">Hauptholme Balsa 6 x 6 mm </t>
  </si>
  <si>
    <t>Beplankung Nase, Schale 1.5 mm</t>
  </si>
  <si>
    <t>Beplankung Flügelmitte 1.5 mm</t>
  </si>
  <si>
    <t>Nasenholm Mitte</t>
  </si>
  <si>
    <t>Schwerpunkt, ab Nasenholm Mitte Rumpf</t>
  </si>
  <si>
    <t>Rippen 2 mm., 1 Satz mit 24 St.</t>
  </si>
  <si>
    <t>Rippen 2 mm., 1 Satz à 22 St.</t>
  </si>
  <si>
    <t>Hauptholm 6 x 12 + Mittenverstärkung</t>
  </si>
  <si>
    <r>
      <t xml:space="preserve">Höhenruder </t>
    </r>
    <r>
      <rPr>
        <sz val="12"/>
        <rFont val="Arial"/>
        <family val="2"/>
      </rPr>
      <t>(beide)</t>
    </r>
  </si>
  <si>
    <t>Nasenholm</t>
  </si>
  <si>
    <t>Leim &amp; Verstärkungen</t>
  </si>
  <si>
    <t>1. Anstrich Nitro-Spannlack 50% verdünnt, auf  Polyspan</t>
  </si>
  <si>
    <t>1. Anstrich Nitro-Spannlack 50% verdünnt,auf leichter Seide</t>
  </si>
  <si>
    <t>Alle Bauteile imprägniert Hartgrund 50%</t>
  </si>
  <si>
    <t>Alle Bauteile imprägniert, Hartgrund 50%</t>
  </si>
  <si>
    <t>Abstützung 2 mm Endholm</t>
  </si>
  <si>
    <t>Endholm 8 x 6</t>
  </si>
  <si>
    <t>Flaphorn 19</t>
  </si>
  <si>
    <t>Scharniere 1.5</t>
  </si>
  <si>
    <t xml:space="preserve">Rippen 2 mm. 1-13 (Satz, 25 St). </t>
  </si>
  <si>
    <t>Kurze Schubstange mit 1 Gelenk 10</t>
  </si>
  <si>
    <t>Leim, Imprägnierung und Diverses</t>
  </si>
  <si>
    <t xml:space="preserve">Randbogen aussen, mit Deckel und Schrauben </t>
  </si>
  <si>
    <t>Grundierung Rohbau, 2 x Hartgrund Ruco</t>
  </si>
  <si>
    <t>Scharnieraufnahmen</t>
  </si>
  <si>
    <t>Holme 5 x 5</t>
  </si>
  <si>
    <t>Feinschliff auf d = 8 mm</t>
  </si>
  <si>
    <t>Hornaufnahmen 0.6 mm Sperrholz</t>
  </si>
  <si>
    <t>Verklebung Epoxy (2 Flaps, je 2 Seiten)</t>
  </si>
  <si>
    <r>
      <t>Bespannung &amp; Lackierung</t>
    </r>
    <r>
      <rPr>
        <sz val="10"/>
        <color indexed="8"/>
        <rFont val="Arial"/>
        <family val="2"/>
      </rPr>
      <t xml:space="preserve"> (beide)</t>
    </r>
  </si>
  <si>
    <t>1. Anstrich Nitro-Hartgrund, Ruco, auf Holz</t>
  </si>
  <si>
    <t>Grundierung, Hartgrund Ruco</t>
  </si>
  <si>
    <t>Grundierung Hartgrund Ruco</t>
  </si>
  <si>
    <t>Quer-Trimmklappe mit Horn und Stange</t>
  </si>
  <si>
    <t>Silkspan medium aufgeklebt</t>
  </si>
  <si>
    <t>Silkspan medium, aufgeklebt</t>
  </si>
  <si>
    <t>1. Anstrich Hartgrund Ruco verdünnt, auf Silkspan Medium über Holz</t>
  </si>
  <si>
    <t>Anstriche Hartgrund Ruco</t>
  </si>
  <si>
    <t>Regler CC Phoenix ICE lite 75 A 63 x 27 x 13 mm</t>
  </si>
  <si>
    <t>Regler</t>
  </si>
  <si>
    <t>Rollmoment um v. Schwerpunkt</t>
  </si>
  <si>
    <t>Gramm x mm</t>
  </si>
  <si>
    <t>Papier Silkspan Medium</t>
  </si>
  <si>
    <t>Silkspan Medium aufgeklebt</t>
  </si>
  <si>
    <t>TP 3 mit 170 ccm (3/4) =  2'016 Gr. SP 178 mm / 18%</t>
  </si>
  <si>
    <t>Propeller APC 13 x 6.5 E</t>
  </si>
  <si>
    <t>Propeller APC 14 x 7 E</t>
  </si>
  <si>
    <t>Spinner Irvine 51 mm</t>
  </si>
  <si>
    <t xml:space="preserve">Batterie 4S 4'000 mAh </t>
  </si>
  <si>
    <t>Retro E= 21%</t>
  </si>
  <si>
    <t>Motor Hyperion ZS4020-08 komplett</t>
  </si>
  <si>
    <t>Kabine</t>
  </si>
  <si>
    <t>Fahrwerke</t>
  </si>
  <si>
    <t>Hauptfahrwerk</t>
  </si>
  <si>
    <t>Höhenleitwerk, komplett</t>
  </si>
  <si>
    <t>Antrieb und Leitwerk</t>
  </si>
  <si>
    <t>entspricht CG + 2 mm</t>
  </si>
  <si>
    <t>Ausgleich 5 Gr hinten</t>
  </si>
  <si>
    <t>Gewichtsausgleich aussen</t>
  </si>
  <si>
    <t>Heckfahrwerkaufnahme mit Deckel und Schraube</t>
  </si>
  <si>
    <t>Hilfsspanten 3 x 20 mm</t>
  </si>
  <si>
    <t>Boden hinten</t>
  </si>
  <si>
    <t>Block oben, hinten</t>
  </si>
  <si>
    <t>Block oben, vorn</t>
  </si>
  <si>
    <t>Wartungsdeckel HR, mit Schrauben</t>
  </si>
  <si>
    <t>Fahrwerkaufnahme 4 mm Lite-Ply &amp; Schrauben</t>
  </si>
  <si>
    <t>Seitenwand balsa hart vorn 3 hinten, 2 mm &amp; Glas 0.4 innen bis Scharnier Stabilo</t>
  </si>
  <si>
    <t>Block vorn unten</t>
  </si>
  <si>
    <t>Block Mitte unten</t>
  </si>
  <si>
    <t>Einbauteile Batteriefach</t>
  </si>
  <si>
    <t xml:space="preserve">Scorpion HK30-26, Stehbolzen, Fl.&amp; Mitn.M8 </t>
  </si>
  <si>
    <t>Nase (Spinner - Flügelnase in der Mitte)</t>
  </si>
  <si>
    <t>Motorverschalung, Schrauben</t>
  </si>
  <si>
    <t>Kopfspant Motor 2 mm Sperrh. + 2 x CFK 80er</t>
  </si>
  <si>
    <t>Rippen 3 mm</t>
  </si>
  <si>
    <t>Hinterkante Endleiste</t>
  </si>
  <si>
    <t>Nasenholm 8 x 8</t>
  </si>
  <si>
    <t>Endholm 8 x 8</t>
  </si>
  <si>
    <t>Randbogen 8 x 8</t>
  </si>
  <si>
    <t>Holm unten 8 x 8 mm</t>
  </si>
  <si>
    <t>Schwerpunkt, ab Hinterkante Endleiste</t>
  </si>
  <si>
    <t>Rückplatte Spinner bis Hinterkante Endleiste Seitenruder</t>
  </si>
  <si>
    <t>Ballastkammer Heck, Deckel, Schrauben</t>
  </si>
  <si>
    <t>Ausbau Cockpit</t>
  </si>
  <si>
    <t>Batterie 4S 2600 mAh</t>
  </si>
  <si>
    <t>Batterie 5S 2600 mAh</t>
  </si>
  <si>
    <t>Batterie 5S 3300 mAh</t>
  </si>
  <si>
    <t>Deckel Batteriefach mit Verschluss</t>
  </si>
  <si>
    <t xml:space="preserve">Anstriche Spannlack 30% verd. </t>
  </si>
  <si>
    <t>1. Anstrich Nitro-Spannlack 30% verdünnt, auf Silkspan Medium über Polyspan</t>
  </si>
  <si>
    <t>Anstriche Spannlack 30%</t>
  </si>
  <si>
    <t>Anstriche  Spannlack 30%</t>
  </si>
  <si>
    <t xml:space="preserve">Flügel, bespannt &amp; grundiert </t>
  </si>
  <si>
    <t>Signorina Elettra</t>
  </si>
  <si>
    <t>Basislack weiss, plus Zierfarben</t>
  </si>
  <si>
    <t>Basislack weiss, plus Zierfarben auf 50%</t>
  </si>
  <si>
    <t>Fahrwerk CFK mit Radachsen (1) und Schrauben</t>
  </si>
  <si>
    <t>Ende:</t>
  </si>
  <si>
    <t>Batterie 4S 3'300 mAh</t>
  </si>
  <si>
    <t>Arm Batterien:</t>
  </si>
  <si>
    <t>143x53x27 mm</t>
  </si>
  <si>
    <t>SP hinten</t>
  </si>
  <si>
    <t>SP vorn</t>
  </si>
  <si>
    <t>16.6% 174 mm</t>
  </si>
  <si>
    <t>SP mitte</t>
  </si>
  <si>
    <t>19.6% 166 mm</t>
  </si>
  <si>
    <t>22.3% 159 mm</t>
  </si>
  <si>
    <t>17.8% 171 mm</t>
  </si>
  <si>
    <t>19% 168 mm</t>
  </si>
  <si>
    <t>24.7% 152 mm</t>
  </si>
  <si>
    <t>23.6% 155 mm</t>
  </si>
  <si>
    <t>22.5% 158 mm</t>
  </si>
  <si>
    <t>Kapazität und Position der Batterie, bei Verschiebeweg ca. +/- 15 mm</t>
  </si>
  <si>
    <t>4000 mAh 4S</t>
  </si>
  <si>
    <t>3300 mAh 4S</t>
  </si>
  <si>
    <t>2600 mAh 4S</t>
  </si>
  <si>
    <t>4000 mAh 4S = 160 - 190</t>
  </si>
  <si>
    <t>2600 mAh 5S</t>
  </si>
  <si>
    <t>20.5% 164 mm</t>
  </si>
  <si>
    <t>Propeller APC 13 x 4.5 EP</t>
  </si>
  <si>
    <t>Timer</t>
  </si>
  <si>
    <t>Timer FM-9 mit Support &amp; Taste</t>
  </si>
  <si>
    <t>Ausgleich Gewicht Leinen</t>
  </si>
  <si>
    <t>Datum Rückseite Spinner</t>
  </si>
  <si>
    <t>Signorina Elettra Schwerpunktrechnung</t>
  </si>
  <si>
    <t>138x44x26 mm</t>
  </si>
  <si>
    <t>138x44x21 mm</t>
  </si>
  <si>
    <t xml:space="preserve">3300 mAh 4S = 156 - 193 </t>
  </si>
  <si>
    <t>2600 mAh 4S = 156 - 193</t>
  </si>
  <si>
    <t>2600 mAh 5S = 156 - 193</t>
  </si>
  <si>
    <t>Mot. Hyperion Gs3025-10 +Fl.+ Mitn. M8</t>
  </si>
  <si>
    <t>Regler CC Phoenix 75 A lite+ Kabel</t>
  </si>
  <si>
    <t xml:space="preserve">Maximale Dicke, mm. </t>
  </si>
  <si>
    <t xml:space="preserve">Streckung / Aspect Ratio  1: </t>
  </si>
  <si>
    <t>Antrieb, mit Batterie 2600 mA/h 5S</t>
  </si>
  <si>
    <t>Trimmgewi. Aussen (Zusätzl. Z. Ausgl. Leinen)</t>
  </si>
  <si>
    <t>Hauptfahrwerk* mit Verschalung</t>
  </si>
  <si>
    <t>*Fahrwerkverschiebung 45 mm nach vorn</t>
  </si>
  <si>
    <t>Motor AXI 2826/12 mit Heckflansch &amp; Mitnehmer</t>
  </si>
  <si>
    <t xml:space="preserve">Schwerpunkt, von Scharnierline Flaps nach vorn </t>
  </si>
  <si>
    <r>
      <t>Diese Tabellen erlauben die Berechnung von Gewicht und Schwerpunktlage durch Eingabe von Gewichten einzelner Bauteile und deren Abstand von einem Nullpunkt (</t>
    </r>
    <r>
      <rPr>
        <b/>
        <sz val="10"/>
        <rFont val="Arial"/>
        <family val="2"/>
      </rPr>
      <t>Datum)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Daten nur in gelbe Felder eingeben</t>
    </r>
    <r>
      <rPr>
        <sz val="10"/>
        <rFont val="Arial"/>
        <family val="2"/>
      </rPr>
      <t>. Rote Schrift in grünen Feldern sind Resultate der Berechnungen, diese Felder dürfen nicht überschrieben werden. Zur exakten Berechnung der mittleren Flächentiefe gibt es auf: http://www.palosrc.com/instructors/mac.htm ein Programm.</t>
    </r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</si>
</sst>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%"/>
    <numFmt numFmtId="166" formatCode="[$-807]dddd\,\ d\.\ mmmm\ yyyy"/>
    <numFmt numFmtId="167" formatCode="dd/mm/yy;@"/>
    <numFmt numFmtId="168" formatCode="0.000000000000"/>
    <numFmt numFmtId="169" formatCode="d/mm/yy;@"/>
    <numFmt numFmtId="170" formatCode="dd/mm/yyyy;@"/>
    <numFmt numFmtId="171" formatCode="#,##0.000"/>
    <numFmt numFmtId="172" formatCode="#,##0.0"/>
    <numFmt numFmtId="173" formatCode="0.000"/>
    <numFmt numFmtId="174" formatCode="[$-807]d/\ mmmm\ yyyy;@"/>
    <numFmt numFmtId="175" formatCode="0.000000"/>
    <numFmt numFmtId="176" formatCode="0_ ;[Red]\-0\ 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0"/>
    </font>
    <font>
      <b/>
      <sz val="12"/>
      <color indexed="8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wrapText="1"/>
    </xf>
    <xf numFmtId="17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171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 wrapText="1"/>
    </xf>
    <xf numFmtId="164" fontId="2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wrapText="1"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1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1" fontId="6" fillId="0" borderId="3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" fontId="7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" fontId="7" fillId="2" borderId="1" xfId="0" applyNumberFormat="1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/>
    </xf>
    <xf numFmtId="0" fontId="9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1" fontId="6" fillId="0" borderId="6" xfId="0" applyNumberFormat="1" applyFont="1" applyBorder="1" applyAlignment="1">
      <alignment/>
    </xf>
    <xf numFmtId="0" fontId="6" fillId="0" borderId="7" xfId="0" applyFont="1" applyBorder="1" applyAlignment="1">
      <alignment wrapText="1"/>
    </xf>
    <xf numFmtId="1" fontId="6" fillId="0" borderId="8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1" fontId="4" fillId="4" borderId="1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6" fillId="0" borderId="7" xfId="0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" fontId="4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1" fontId="6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1" fontId="6" fillId="0" borderId="8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2" xfId="0" applyBorder="1" applyAlignment="1">
      <alignment/>
    </xf>
    <xf numFmtId="1" fontId="4" fillId="4" borderId="1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1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3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" fontId="0" fillId="0" borderId="2" xfId="0" applyNumberFormat="1" applyBorder="1" applyAlignment="1">
      <alignment/>
    </xf>
    <xf numFmtId="1" fontId="2" fillId="0" borderId="3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2" fillId="2" borderId="2" xfId="0" applyFont="1" applyFill="1" applyBorder="1" applyAlignment="1">
      <alignment/>
    </xf>
    <xf numFmtId="164" fontId="0" fillId="0" borderId="1" xfId="0" applyNumberFormat="1" applyBorder="1" applyAlignment="1">
      <alignment wrapText="1"/>
    </xf>
    <xf numFmtId="164" fontId="6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/>
    </xf>
    <xf numFmtId="173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/>
    </xf>
    <xf numFmtId="164" fontId="5" fillId="0" borderId="1" xfId="0" applyNumberFormat="1" applyFont="1" applyBorder="1" applyAlignment="1">
      <alignment/>
    </xf>
    <xf numFmtId="0" fontId="0" fillId="5" borderId="1" xfId="0" applyFill="1" applyBorder="1" applyAlignment="1">
      <alignment/>
    </xf>
    <xf numFmtId="1" fontId="11" fillId="4" borderId="1" xfId="0" applyNumberFormat="1" applyFont="1" applyFill="1" applyBorder="1" applyAlignment="1">
      <alignment/>
    </xf>
    <xf numFmtId="165" fontId="11" fillId="4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65" fontId="4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15" fontId="6" fillId="0" borderId="0" xfId="0" applyNumberFormat="1" applyFont="1" applyAlignment="1">
      <alignment/>
    </xf>
    <xf numFmtId="1" fontId="6" fillId="2" borderId="1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" fontId="6" fillId="3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/>
    </xf>
    <xf numFmtId="15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/>
    </xf>
    <xf numFmtId="170" fontId="2" fillId="2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170" fontId="2" fillId="0" borderId="13" xfId="0" applyNumberFormat="1" applyFont="1" applyBorder="1" applyAlignment="1">
      <alignment horizontal="left"/>
    </xf>
    <xf numFmtId="0" fontId="0" fillId="3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1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5" fillId="4" borderId="1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 wrapText="1"/>
    </xf>
    <xf numFmtId="1" fontId="4" fillId="4" borderId="13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/>
    </xf>
    <xf numFmtId="164" fontId="5" fillId="4" borderId="2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/>
    </xf>
    <xf numFmtId="170" fontId="7" fillId="4" borderId="0" xfId="0" applyNumberFormat="1" applyFont="1" applyFill="1" applyAlignment="1">
      <alignment/>
    </xf>
    <xf numFmtId="164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169" fontId="2" fillId="0" borderId="1" xfId="0" applyNumberFormat="1" applyFont="1" applyBorder="1" applyAlignment="1">
      <alignment horizontal="right"/>
    </xf>
    <xf numFmtId="170" fontId="2" fillId="0" borderId="13" xfId="0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70" fontId="7" fillId="0" borderId="13" xfId="0" applyNumberFormat="1" applyFont="1" applyFill="1" applyBorder="1" applyAlignment="1">
      <alignment/>
    </xf>
    <xf numFmtId="167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70" fontId="7" fillId="0" borderId="13" xfId="0" applyNumberFormat="1" applyFont="1" applyFill="1" applyBorder="1" applyAlignment="1">
      <alignment/>
    </xf>
    <xf numFmtId="167" fontId="7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164" fontId="13" fillId="4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2" xfId="0" applyBorder="1" applyAlignment="1">
      <alignment wrapText="1"/>
    </xf>
    <xf numFmtId="0" fontId="4" fillId="3" borderId="14" xfId="0" applyFont="1" applyFill="1" applyBorder="1" applyAlignment="1">
      <alignment/>
    </xf>
    <xf numFmtId="1" fontId="11" fillId="4" borderId="13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1" fontId="14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1" fontId="14" fillId="4" borderId="1" xfId="0" applyNumberFormat="1" applyFont="1" applyFill="1" applyBorder="1" applyAlignment="1">
      <alignment/>
    </xf>
    <xf numFmtId="1" fontId="14" fillId="2" borderId="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4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" fontId="14" fillId="4" borderId="1" xfId="0" applyNumberFormat="1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15" fillId="3" borderId="1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" fontId="5" fillId="4" borderId="14" xfId="0" applyNumberFormat="1" applyFont="1" applyFill="1" applyBorder="1" applyAlignment="1">
      <alignment/>
    </xf>
    <xf numFmtId="1" fontId="4" fillId="4" borderId="1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76" fontId="4" fillId="4" borderId="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Border="1" applyAlignment="1">
      <alignment/>
    </xf>
    <xf numFmtId="164" fontId="4" fillId="4" borderId="13" xfId="0" applyNumberFormat="1" applyFont="1" applyFill="1" applyBorder="1" applyAlignment="1">
      <alignment/>
    </xf>
    <xf numFmtId="170" fontId="2" fillId="2" borderId="3" xfId="0" applyNumberFormat="1" applyFont="1" applyFill="1" applyBorder="1" applyAlignment="1">
      <alignment wrapText="1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3" xfId="0" applyFill="1" applyBorder="1" applyAlignment="1">
      <alignment/>
    </xf>
    <xf numFmtId="49" fontId="0" fillId="0" borderId="11" xfId="0" applyNumberFormat="1" applyBorder="1" applyAlignment="1">
      <alignment vertical="top" wrapText="1"/>
    </xf>
    <xf numFmtId="0" fontId="2" fillId="2" borderId="15" xfId="0" applyFont="1" applyFill="1" applyBorder="1" applyAlignment="1">
      <alignment/>
    </xf>
    <xf numFmtId="49" fontId="0" fillId="0" borderId="12" xfId="0" applyNumberFormat="1" applyFont="1" applyBorder="1" applyAlignment="1">
      <alignment horizontal="left" vertical="top" wrapText="1"/>
    </xf>
    <xf numFmtId="0" fontId="3" fillId="6" borderId="12" xfId="0" applyFont="1" applyFill="1" applyBorder="1" applyAlignment="1">
      <alignment vertical="top" wrapText="1"/>
    </xf>
    <xf numFmtId="1" fontId="7" fillId="2" borderId="15" xfId="0" applyNumberFormat="1" applyFont="1" applyFill="1" applyBorder="1" applyAlignment="1">
      <alignment/>
    </xf>
    <xf numFmtId="1" fontId="6" fillId="5" borderId="1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164" fontId="2" fillId="3" borderId="12" xfId="0" applyNumberFormat="1" applyFont="1" applyFill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7" fillId="3" borderId="12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right" wrapText="1"/>
    </xf>
    <xf numFmtId="164" fontId="7" fillId="4" borderId="1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1" fontId="7" fillId="4" borderId="1" xfId="0" applyNumberFormat="1" applyFont="1" applyFill="1" applyBorder="1" applyAlignment="1">
      <alignment/>
    </xf>
    <xf numFmtId="164" fontId="7" fillId="5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/>
    </xf>
    <xf numFmtId="164" fontId="7" fillId="5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19050</xdr:rowOff>
    </xdr:from>
    <xdr:to>
      <xdr:col>11</xdr:col>
      <xdr:colOff>0</xdr:colOff>
      <xdr:row>15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0500"/>
          <a:ext cx="50101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3.00390625" style="0" customWidth="1"/>
    <col min="2" max="2" width="41.8515625" style="0" customWidth="1"/>
    <col min="3" max="3" width="12.140625" style="0" customWidth="1"/>
    <col min="4" max="4" width="11.140625" style="0" customWidth="1"/>
    <col min="5" max="5" width="14.421875" style="0" customWidth="1"/>
    <col min="6" max="6" width="20.7109375" style="0" customWidth="1"/>
    <col min="7" max="7" width="20.57421875" style="0" customWidth="1"/>
    <col min="9" max="9" width="14.7109375" style="0" customWidth="1"/>
    <col min="10" max="10" width="14.8515625" style="0" customWidth="1"/>
    <col min="11" max="11" width="13.7109375" style="0" customWidth="1"/>
  </cols>
  <sheetData>
    <row r="1" ht="13.5" thickBot="1"/>
    <row r="2" spans="2:5" ht="16.5" thickBot="1">
      <c r="B2" s="296" t="s">
        <v>326</v>
      </c>
      <c r="C2" s="1"/>
      <c r="D2" s="27" t="s">
        <v>149</v>
      </c>
      <c r="E2" s="201">
        <v>40570</v>
      </c>
    </row>
    <row r="3" spans="2:5" ht="15.75">
      <c r="B3" s="7"/>
      <c r="D3" s="27"/>
      <c r="E3" s="219"/>
    </row>
    <row r="4" spans="2:5" ht="12.75">
      <c r="B4" s="316" t="s">
        <v>373</v>
      </c>
      <c r="C4" s="317"/>
      <c r="D4" s="317"/>
      <c r="E4" s="318"/>
    </row>
    <row r="5" spans="2:5" ht="15.75" customHeight="1">
      <c r="B5" s="319"/>
      <c r="C5" s="320"/>
      <c r="D5" s="320"/>
      <c r="E5" s="321"/>
    </row>
    <row r="6" spans="2:5" ht="15.75" customHeight="1">
      <c r="B6" s="319"/>
      <c r="C6" s="320"/>
      <c r="D6" s="320"/>
      <c r="E6" s="321"/>
    </row>
    <row r="7" spans="2:5" ht="15.75" customHeight="1">
      <c r="B7" s="319"/>
      <c r="C7" s="320"/>
      <c r="D7" s="320"/>
      <c r="E7" s="321"/>
    </row>
    <row r="8" spans="2:5" ht="15.75" customHeight="1">
      <c r="B8" s="322"/>
      <c r="C8" s="323"/>
      <c r="D8" s="323"/>
      <c r="E8" s="324"/>
    </row>
    <row r="9" spans="2:5" ht="12.75">
      <c r="B9" s="1"/>
      <c r="E9" s="42"/>
    </row>
    <row r="10" spans="2:5" ht="12.75">
      <c r="B10" s="44" t="s">
        <v>127</v>
      </c>
      <c r="C10" s="75" t="s">
        <v>140</v>
      </c>
      <c r="D10" s="27" t="s">
        <v>150</v>
      </c>
      <c r="E10" s="220" t="s">
        <v>232</v>
      </c>
    </row>
    <row r="11" spans="2:5" ht="13.5" thickBot="1">
      <c r="B11" s="44" t="s">
        <v>158</v>
      </c>
      <c r="C11" s="77"/>
      <c r="E11" s="42"/>
    </row>
    <row r="12" spans="2:5" ht="13.5" thickBot="1">
      <c r="B12" s="43" t="s">
        <v>132</v>
      </c>
      <c r="C12" s="43"/>
      <c r="D12" t="s">
        <v>155</v>
      </c>
      <c r="E12" s="221">
        <f>E2-E10</f>
        <v>210</v>
      </c>
    </row>
    <row r="13" spans="2:5" ht="12.75">
      <c r="B13" s="44" t="s">
        <v>145</v>
      </c>
      <c r="C13" s="182"/>
      <c r="E13" s="42"/>
    </row>
    <row r="14" spans="2:5" ht="12.75">
      <c r="B14" s="130" t="s">
        <v>159</v>
      </c>
      <c r="C14" s="179"/>
      <c r="D14" s="27" t="s">
        <v>330</v>
      </c>
      <c r="E14" s="42">
        <v>40508</v>
      </c>
    </row>
    <row r="15" spans="2:5" ht="12.75">
      <c r="B15" s="135"/>
      <c r="C15" s="159"/>
      <c r="E15" s="42"/>
    </row>
    <row r="16" spans="2:5" ht="12.75">
      <c r="B16" s="135"/>
      <c r="C16" s="159"/>
      <c r="E16" s="197"/>
    </row>
    <row r="18" spans="2:5" ht="39.75" customHeight="1">
      <c r="B18" s="310" t="s">
        <v>357</v>
      </c>
      <c r="C18" s="43"/>
      <c r="D18" s="309" t="s">
        <v>356</v>
      </c>
      <c r="E18" s="307"/>
    </row>
    <row r="19" spans="2:5" ht="15" customHeight="1">
      <c r="B19" s="196"/>
      <c r="C19" s="242"/>
      <c r="D19" s="243"/>
      <c r="E19" s="302">
        <f>E2</f>
        <v>40570</v>
      </c>
    </row>
    <row r="20" spans="2:5" ht="12.75">
      <c r="B20" s="43"/>
      <c r="C20" s="137"/>
      <c r="D20" s="137"/>
      <c r="E20" s="137"/>
    </row>
    <row r="21" spans="2:5" ht="12.75">
      <c r="B21" s="115" t="s">
        <v>143</v>
      </c>
      <c r="C21" s="126" t="s">
        <v>0</v>
      </c>
      <c r="D21" s="126" t="s">
        <v>1</v>
      </c>
      <c r="E21" s="126" t="s">
        <v>2</v>
      </c>
    </row>
    <row r="22" spans="2:5" ht="12.75">
      <c r="B22" s="43"/>
      <c r="C22" s="43"/>
      <c r="D22" s="43"/>
      <c r="E22" s="43"/>
    </row>
    <row r="23" spans="2:5" ht="12.75">
      <c r="B23" s="120" t="str">
        <f>'Rumpf &amp; Seitenruder'!B111</f>
        <v>Rumpf, mit Seitensteuer, lackiert</v>
      </c>
      <c r="C23" s="312">
        <f>'Rumpf &amp; Seitenruder'!F112</f>
        <v>363.74514</v>
      </c>
      <c r="D23" s="174">
        <f>'Rumpf &amp; Seitenruder'!G116</f>
        <v>490.60562018780513</v>
      </c>
      <c r="E23" s="124">
        <f>C23*D23</f>
        <v>178455.41</v>
      </c>
    </row>
    <row r="24" spans="2:5" ht="12.75">
      <c r="B24" s="120" t="str">
        <f>'Tragfläche &amp; Klappen'!B106</f>
        <v>Tragfläche, mit Klappen, lackiert</v>
      </c>
      <c r="C24" s="312">
        <f>'Tragfläche &amp; Klappen'!F107</f>
        <v>487.37296999999995</v>
      </c>
      <c r="D24" s="174">
        <f>'Tragfläche &amp; Klappen'!G111</f>
        <v>440.468217800425</v>
      </c>
      <c r="E24" s="124">
        <f aca="true" t="shared" si="0" ref="E24:E33">C24*D24</f>
        <v>214672.30349999998</v>
      </c>
    </row>
    <row r="25" spans="2:11" ht="12.75">
      <c r="B25" s="120" t="str">
        <f>Höhenleitwerk!B87</f>
        <v>Höhenleitwerk, lackiert</v>
      </c>
      <c r="C25" s="312">
        <f>Höhenleitwerk!F88</f>
        <v>118.95206</v>
      </c>
      <c r="D25" s="174">
        <f>Höhenleitwerk!G92</f>
        <v>987.0554112303729</v>
      </c>
      <c r="E25" s="124">
        <f t="shared" si="0"/>
        <v>117412.2745</v>
      </c>
      <c r="G25" s="43" t="s">
        <v>345</v>
      </c>
      <c r="H25" s="43"/>
      <c r="I25" s="43"/>
      <c r="J25" s="43"/>
      <c r="K25" s="43"/>
    </row>
    <row r="26" spans="2:11" ht="12.75">
      <c r="B26" s="120" t="s">
        <v>367</v>
      </c>
      <c r="C26" s="312">
        <f>'Antrieb, Fahrwerk und V CG'!E24</f>
        <v>678</v>
      </c>
      <c r="D26" s="174">
        <f>'Antrieb, Fahrwerk und V CG'!F25</f>
        <v>115.74778761061947</v>
      </c>
      <c r="E26" s="124">
        <f t="shared" si="0"/>
        <v>78477</v>
      </c>
      <c r="F26" s="26"/>
      <c r="G26" s="43"/>
      <c r="H26" s="170" t="s">
        <v>0</v>
      </c>
      <c r="I26" s="170" t="s">
        <v>335</v>
      </c>
      <c r="J26" s="170" t="s">
        <v>337</v>
      </c>
      <c r="K26" s="170" t="s">
        <v>334</v>
      </c>
    </row>
    <row r="27" spans="2:11" ht="12.75">
      <c r="B27" s="120" t="str">
        <f>'Antrieb, Fahrwerk und V CG'!B27</f>
        <v>Hauptfahrwerk* mit Verschalung</v>
      </c>
      <c r="C27" s="312">
        <f>'Antrieb, Fahrwerk und V CG'!E27</f>
        <v>88</v>
      </c>
      <c r="D27" s="176">
        <f>'Antrieb, Fahrwerk und V CG'!F27</f>
        <v>320</v>
      </c>
      <c r="E27" s="124">
        <f t="shared" si="0"/>
        <v>28160</v>
      </c>
      <c r="G27" s="162" t="s">
        <v>346</v>
      </c>
      <c r="H27" s="170">
        <v>1853</v>
      </c>
      <c r="I27" s="303" t="s">
        <v>336</v>
      </c>
      <c r="J27" s="304" t="s">
        <v>340</v>
      </c>
      <c r="K27" s="304" t="s">
        <v>341</v>
      </c>
    </row>
    <row r="28" spans="2:11" ht="12.75">
      <c r="B28" s="120" t="str">
        <f>'Antrieb, Fahrwerk und V CG'!B29</f>
        <v>Heckfahrwerk</v>
      </c>
      <c r="C28" s="312">
        <f>'Antrieb, Fahrwerk und V CG'!E29</f>
        <v>7</v>
      </c>
      <c r="D28" s="176">
        <f>'Antrieb, Fahrwerk und V CG'!F29</f>
        <v>950</v>
      </c>
      <c r="E28" s="124">
        <f t="shared" si="0"/>
        <v>6650</v>
      </c>
      <c r="G28" s="162" t="s">
        <v>347</v>
      </c>
      <c r="H28" s="170">
        <v>1768</v>
      </c>
      <c r="I28" s="170" t="s">
        <v>338</v>
      </c>
      <c r="J28" s="315" t="s">
        <v>351</v>
      </c>
      <c r="K28" s="315" t="s">
        <v>339</v>
      </c>
    </row>
    <row r="29" spans="2:11" ht="12.75">
      <c r="B29" s="120" t="s">
        <v>192</v>
      </c>
      <c r="C29" s="313">
        <v>10</v>
      </c>
      <c r="D29" s="132">
        <v>375</v>
      </c>
      <c r="E29" s="124">
        <f t="shared" si="0"/>
        <v>3750</v>
      </c>
      <c r="G29" s="43" t="s">
        <v>348</v>
      </c>
      <c r="H29" s="170">
        <v>1702</v>
      </c>
      <c r="I29" s="43" t="s">
        <v>344</v>
      </c>
      <c r="J29" s="43" t="s">
        <v>343</v>
      </c>
      <c r="K29" s="43" t="s">
        <v>342</v>
      </c>
    </row>
    <row r="30" spans="2:11" ht="12.75">
      <c r="B30" s="120" t="s">
        <v>355</v>
      </c>
      <c r="C30" s="102">
        <f>Gewichte!C52/2</f>
        <v>20</v>
      </c>
      <c r="D30" s="132">
        <v>375</v>
      </c>
      <c r="E30" s="124">
        <f t="shared" si="0"/>
        <v>7500</v>
      </c>
      <c r="G30" s="306" t="s">
        <v>350</v>
      </c>
      <c r="H30" s="305">
        <v>1771</v>
      </c>
      <c r="I30" s="170" t="s">
        <v>338</v>
      </c>
      <c r="J30" s="314" t="s">
        <v>351</v>
      </c>
      <c r="K30" s="314" t="s">
        <v>339</v>
      </c>
    </row>
    <row r="31" spans="2:5" ht="12.75">
      <c r="B31" s="120" t="s">
        <v>91</v>
      </c>
      <c r="C31" s="121">
        <v>0</v>
      </c>
      <c r="D31" s="132">
        <v>1050</v>
      </c>
      <c r="E31" s="124">
        <f t="shared" si="0"/>
        <v>0</v>
      </c>
    </row>
    <row r="32" spans="2:5" ht="12.75">
      <c r="B32" s="120" t="s">
        <v>92</v>
      </c>
      <c r="C32" s="121">
        <v>0</v>
      </c>
      <c r="D32" s="132">
        <v>30</v>
      </c>
      <c r="E32" s="124">
        <f t="shared" si="0"/>
        <v>0</v>
      </c>
    </row>
    <row r="33" spans="2:5" ht="12.75">
      <c r="B33" s="120" t="s">
        <v>368</v>
      </c>
      <c r="C33" s="311">
        <v>10</v>
      </c>
      <c r="D33" s="308">
        <v>375</v>
      </c>
      <c r="E33" s="124">
        <f t="shared" si="0"/>
        <v>3750</v>
      </c>
    </row>
    <row r="34" spans="2:5" ht="12.75">
      <c r="B34" s="120"/>
      <c r="C34" s="190"/>
      <c r="D34" s="162"/>
      <c r="E34" s="124"/>
    </row>
    <row r="35" spans="2:5" ht="12.75">
      <c r="B35" s="120"/>
      <c r="C35" s="43"/>
      <c r="D35" s="43"/>
      <c r="E35" s="124"/>
    </row>
    <row r="36" spans="2:5" ht="15.75">
      <c r="B36" s="98" t="s">
        <v>137</v>
      </c>
      <c r="C36" s="177">
        <f>C23+C24+C25+C26+C27+C28+C29+C30+C31+C32+C33</f>
        <v>1783.07017</v>
      </c>
      <c r="D36" s="43"/>
      <c r="E36" s="124">
        <f>SUM(E23:E33)</f>
        <v>638826.9879999999</v>
      </c>
    </row>
    <row r="37" spans="2:5" ht="12.75">
      <c r="B37" s="101" t="s">
        <v>138</v>
      </c>
      <c r="C37" s="218">
        <f>C36/Gewichte!C101</f>
        <v>62.89489135802469</v>
      </c>
      <c r="D37" s="43"/>
      <c r="E37" s="124"/>
    </row>
    <row r="38" spans="2:5" ht="12.75">
      <c r="B38" s="120"/>
      <c r="C38" s="43"/>
      <c r="D38" s="43"/>
      <c r="E38" s="124"/>
    </row>
    <row r="39" spans="2:5" ht="12.75">
      <c r="B39" s="120" t="s">
        <v>90</v>
      </c>
      <c r="C39" s="102">
        <f>E36/C36</f>
        <v>358.2736107351288</v>
      </c>
      <c r="D39" s="180"/>
      <c r="E39" s="115"/>
    </row>
    <row r="40" spans="2:5" ht="51.75">
      <c r="B40" s="117" t="s">
        <v>372</v>
      </c>
      <c r="C40" s="177">
        <f>Abmessungen!B21+Abmessungen!B36-Schwerpunktrechnung!C39</f>
        <v>166.72638926487122</v>
      </c>
      <c r="D40" s="217">
        <f>C40/25.4</f>
        <v>6.564031073420127</v>
      </c>
      <c r="E40" s="239" t="s">
        <v>277</v>
      </c>
    </row>
    <row r="41" spans="2:5" ht="26.25">
      <c r="B41" s="117" t="s">
        <v>96</v>
      </c>
      <c r="C41" s="178">
        <f>(Abmessungen!B23-Abmessungen!B41-Schwerpunktrechnung!C40)/Abmessungen!B23</f>
        <v>0.19372222085501392</v>
      </c>
      <c r="D41" s="43"/>
      <c r="E41" s="130" t="s">
        <v>282</v>
      </c>
    </row>
    <row r="42" spans="2:5" ht="12.75">
      <c r="B42" s="120" t="s">
        <v>196</v>
      </c>
      <c r="C42" s="43">
        <v>101</v>
      </c>
      <c r="D42" s="43"/>
      <c r="E42" s="43"/>
    </row>
    <row r="43" spans="2:5" ht="12.75">
      <c r="B43" s="120"/>
      <c r="C43" s="180" t="s">
        <v>141</v>
      </c>
      <c r="D43" s="180" t="s">
        <v>136</v>
      </c>
      <c r="E43" s="43"/>
    </row>
    <row r="44" spans="2:5" ht="12.75">
      <c r="B44" s="120" t="s">
        <v>94</v>
      </c>
      <c r="C44" s="102">
        <f>'Rumpf &amp; Seitenruder'!F44+'Rumpf &amp; Seitenruder'!F77+'Tragfläche &amp; Klappen'!F48+'Tragfläche &amp; Klappen'!F87+Höhenleitwerk!F29+Höhenleitwerk!F66</f>
        <v>729.726</v>
      </c>
      <c r="D44" s="216">
        <f>C44/28.35</f>
        <v>25.73989417989418</v>
      </c>
      <c r="E44" s="43"/>
    </row>
    <row r="45" spans="2:5" ht="12.75">
      <c r="B45" s="120" t="s">
        <v>97</v>
      </c>
      <c r="C45" s="102">
        <f>'Rumpf &amp; Seitenruder'!F56+'Rumpf &amp; Seitenruder'!F104+'Tragfläche &amp; Klappen'!F63+'Tragfläche &amp; Klappen'!F99+Höhenleitwerk!F42+Höhenleitwerk!F80</f>
        <v>240.34417000000005</v>
      </c>
      <c r="D45" s="216">
        <f>C45/28.35</f>
        <v>8.477748500881836</v>
      </c>
      <c r="E45" s="43"/>
    </row>
    <row r="46" spans="2:5" ht="12.75">
      <c r="B46" s="120" t="s">
        <v>95</v>
      </c>
      <c r="C46" s="181">
        <f>C26+C27+C28</f>
        <v>773</v>
      </c>
      <c r="D46" s="216">
        <f>C46/28.35</f>
        <v>27.266313932980598</v>
      </c>
      <c r="E46" s="43"/>
    </row>
    <row r="47" spans="2:5" ht="12.75">
      <c r="B47" s="120" t="s">
        <v>139</v>
      </c>
      <c r="C47" s="181">
        <f>C30+C32</f>
        <v>20</v>
      </c>
      <c r="D47" s="216">
        <f>C47/28.35</f>
        <v>0.7054673721340388</v>
      </c>
      <c r="E47" s="43"/>
    </row>
    <row r="48" spans="2:5" ht="12.75">
      <c r="B48" s="43"/>
      <c r="C48" s="43"/>
      <c r="D48" s="43"/>
      <c r="E48" s="43"/>
    </row>
    <row r="49" spans="2:5" ht="12.75">
      <c r="B49" s="43" t="s">
        <v>169</v>
      </c>
      <c r="C49" s="158">
        <f>Schwerpunktrechnung!C36/Abmessungen!B12</f>
        <v>41.51018903503666</v>
      </c>
      <c r="D49" s="43"/>
      <c r="E49" s="43"/>
    </row>
    <row r="50" spans="2:5" ht="12.75">
      <c r="B50" s="43" t="s">
        <v>170</v>
      </c>
      <c r="D50" s="158">
        <f>C37/(Abmessungen!B12/Gewichte!C105)</f>
        <v>13.602457006542876</v>
      </c>
      <c r="E50" s="43"/>
    </row>
    <row r="51" spans="2:5" ht="12.75">
      <c r="B51" s="43"/>
      <c r="C51" s="43"/>
      <c r="D51" s="43"/>
      <c r="E51" s="43"/>
    </row>
    <row r="52" spans="2:5" ht="12.75">
      <c r="B52" s="43" t="s">
        <v>185</v>
      </c>
      <c r="C52" s="215">
        <f>'Rumpf &amp; Seitenruder'!F49+'Rumpf &amp; Seitenruder'!F50+'Rumpf &amp; Seitenruder'!F51+'Rumpf &amp; Seitenruder'!F95+'Rumpf &amp; Seitenruder'!F96+'Rumpf &amp; Seitenruder'!F97+Höhenleitwerk!F82+Höhenleitwerk!F34+Höhenleitwerk!F35+Höhenleitwerk!F36+Höhenleitwerk!F37+Höhenleitwerk!F72+Höhenleitwerk!F73+Höhenleitwerk!F74+'Tragfläche &amp; Klappen'!F74+'Tragfläche &amp; Klappen'!F55+'Tragfläche &amp; Klappen'!F56+'Tragfläche &amp; Klappen'!F57+'Tragfläche &amp; Klappen'!F58+'Tragfläche &amp; Klappen'!F92+'Tragfläche &amp; Klappen'!F93+'Tragfläche &amp; Klappen'!F94</f>
        <v>153.51357000000002</v>
      </c>
      <c r="D52" s="216">
        <f>C52/Gewichte!C101</f>
        <v>5.414940740740741</v>
      </c>
      <c r="E52" s="43"/>
    </row>
    <row r="53" spans="2:5" ht="12.75">
      <c r="B53" s="43" t="s">
        <v>186</v>
      </c>
      <c r="C53" s="215">
        <f>'Rumpf &amp; Seitenruder'!F53+Höhenleitwerk!F84+Höhenleitwerk!F39+Höhenleitwerk!F77+'Tragfläche &amp; Klappen'!F60+'Tragfläche &amp; Klappen'!F96</f>
        <v>40.68680000000001</v>
      </c>
      <c r="D53" s="216">
        <f>C53/Gewichte!C101</f>
        <v>1.435160493827161</v>
      </c>
      <c r="E53" s="43"/>
    </row>
    <row r="54" spans="2:5" ht="12.75">
      <c r="B54" s="43" t="s">
        <v>187</v>
      </c>
      <c r="C54" s="215">
        <f>'Rumpf &amp; Seitenruder'!F54+'Rumpf &amp; Seitenruder'!F101+Höhenleitwerk!F40+Höhenleitwerk!F78+'Tragfläche &amp; Klappen'!F61+'Tragfläche &amp; Klappen'!F97</f>
        <v>67.0995</v>
      </c>
      <c r="D54" s="216">
        <f>C54/Gewichte!C101</f>
        <v>2.366825396825397</v>
      </c>
      <c r="E54" s="43"/>
    </row>
    <row r="55" spans="2:5" ht="12.75">
      <c r="B55" s="43"/>
      <c r="C55" s="43"/>
      <c r="D55" s="43"/>
      <c r="E55" s="43"/>
    </row>
    <row r="56" spans="2:5" ht="12.75">
      <c r="B56" s="43" t="s">
        <v>188</v>
      </c>
      <c r="C56" s="102">
        <f>C52+C53+C54</f>
        <v>261.29987000000006</v>
      </c>
      <c r="D56" s="158">
        <f>C56/Gewichte!C101</f>
        <v>9.2169266313933</v>
      </c>
      <c r="E56" s="43"/>
    </row>
    <row r="58" spans="2:3" ht="26.25" thickBot="1">
      <c r="B58" s="120" t="s">
        <v>228</v>
      </c>
      <c r="C58" s="271">
        <v>18.5</v>
      </c>
    </row>
    <row r="59" spans="2:3" ht="27" thickBot="1">
      <c r="B59" s="270" t="s">
        <v>229</v>
      </c>
      <c r="C59" s="272">
        <f>C40-C58</f>
        <v>148.22638926487122</v>
      </c>
    </row>
    <row r="63" ht="12.75">
      <c r="B63" s="282"/>
    </row>
  </sheetData>
  <mergeCells count="1">
    <mergeCell ref="B4:E8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9"/>
  <sheetViews>
    <sheetView workbookViewId="0" topLeftCell="A1">
      <selection activeCell="F15" sqref="F15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1.7109375" style="0" customWidth="1"/>
    <col min="4" max="4" width="8.28125" style="0" customWidth="1"/>
    <col min="5" max="5" width="8.8515625" style="0" customWidth="1"/>
    <col min="6" max="6" width="9.421875" style="0" customWidth="1"/>
    <col min="8" max="8" width="29.7109375" style="0" customWidth="1"/>
    <col min="9" max="9" width="21.57421875" style="0" customWidth="1"/>
    <col min="10" max="10" width="25.421875" style="0" customWidth="1"/>
    <col min="11" max="11" width="8.421875" style="0" customWidth="1"/>
    <col min="12" max="12" width="5.8515625" style="0" customWidth="1"/>
    <col min="13" max="13" width="7.8515625" style="0" customWidth="1"/>
  </cols>
  <sheetData>
    <row r="2" spans="2:6" ht="12.75">
      <c r="B2" s="44" t="s">
        <v>127</v>
      </c>
      <c r="C2" s="75" t="s">
        <v>140</v>
      </c>
      <c r="F2" s="42"/>
    </row>
    <row r="3" spans="2:3" ht="12.75">
      <c r="B3" s="48" t="s">
        <v>128</v>
      </c>
      <c r="C3" s="77"/>
    </row>
    <row r="4" spans="2:3" ht="12.75">
      <c r="B4" s="43" t="s">
        <v>132</v>
      </c>
      <c r="C4" s="43"/>
    </row>
    <row r="5" spans="2:3" ht="12.75">
      <c r="B5" s="44" t="s">
        <v>145</v>
      </c>
      <c r="C5" s="182"/>
    </row>
    <row r="6" spans="2:3" ht="12.75">
      <c r="B6" s="130" t="s">
        <v>144</v>
      </c>
      <c r="C6" s="179"/>
    </row>
    <row r="7" ht="13.5" thickBot="1"/>
    <row r="8" spans="2:13" ht="29.25" customHeight="1" thickBot="1">
      <c r="B8" s="113" t="s">
        <v>86</v>
      </c>
      <c r="C8" s="325" t="str">
        <f>Schwerpunktrechnung!D18</f>
        <v>Datum Rückseite Spinner</v>
      </c>
      <c r="D8" s="326"/>
      <c r="E8" s="326"/>
      <c r="F8" s="327"/>
      <c r="G8" s="245"/>
      <c r="I8" s="115" t="str">
        <f>Schwerpunktrechnung!B2</f>
        <v>Signorina Elettra</v>
      </c>
      <c r="J8" s="237" t="s">
        <v>210</v>
      </c>
      <c r="K8" s="237"/>
      <c r="L8" s="43"/>
      <c r="M8" s="43"/>
    </row>
    <row r="9" spans="2:13" ht="12.75">
      <c r="B9" s="114" t="s">
        <v>65</v>
      </c>
      <c r="C9" s="43" t="s">
        <v>34</v>
      </c>
      <c r="D9" s="115"/>
      <c r="E9" s="115"/>
      <c r="F9" s="246">
        <f>Schwerpunktrechnung!E2</f>
        <v>40570</v>
      </c>
      <c r="G9" s="137"/>
      <c r="I9" s="43"/>
      <c r="J9" s="43" t="s">
        <v>204</v>
      </c>
      <c r="K9" s="43" t="s">
        <v>0</v>
      </c>
      <c r="L9" s="43" t="s">
        <v>1</v>
      </c>
      <c r="M9" s="43" t="s">
        <v>2</v>
      </c>
    </row>
    <row r="10" spans="2:13" ht="12.75">
      <c r="B10" s="114"/>
      <c r="C10" s="115"/>
      <c r="D10" s="115"/>
      <c r="E10" s="115"/>
      <c r="F10" s="116"/>
      <c r="G10" s="43"/>
      <c r="I10" s="43"/>
      <c r="J10" s="43"/>
      <c r="K10" s="43"/>
      <c r="L10" s="43"/>
      <c r="M10" s="43"/>
    </row>
    <row r="11" spans="2:13" ht="25.5">
      <c r="B11" s="114"/>
      <c r="C11" s="117" t="s">
        <v>87</v>
      </c>
      <c r="D11" s="117" t="s">
        <v>41</v>
      </c>
      <c r="E11" s="117" t="s">
        <v>0</v>
      </c>
      <c r="F11" s="118" t="s">
        <v>51</v>
      </c>
      <c r="G11" s="119" t="s">
        <v>2</v>
      </c>
      <c r="I11" s="43"/>
      <c r="J11" s="43"/>
      <c r="K11" s="246">
        <f>Schwerpunktrechnung!E2</f>
        <v>40570</v>
      </c>
      <c r="L11" s="43"/>
      <c r="M11" s="43"/>
    </row>
    <row r="12" spans="2:13" ht="12.75">
      <c r="B12" s="115"/>
      <c r="C12" s="115"/>
      <c r="D12" s="115"/>
      <c r="E12" s="115"/>
      <c r="F12" s="116"/>
      <c r="G12" s="43"/>
      <c r="I12" s="115" t="s">
        <v>89</v>
      </c>
      <c r="J12" s="43"/>
      <c r="K12" s="43"/>
      <c r="L12" s="43"/>
      <c r="M12" s="43"/>
    </row>
    <row r="13" spans="2:13" ht="12.75">
      <c r="B13" s="43" t="str">
        <f>Gewichte!B61</f>
        <v>Propeller APC 13 x 4.5 EP</v>
      </c>
      <c r="C13" s="132">
        <v>1</v>
      </c>
      <c r="D13" s="353">
        <f>Gewichte!C61</f>
        <v>26</v>
      </c>
      <c r="E13" s="347">
        <f aca="true" t="shared" si="0" ref="E13:E18">C13*D13</f>
        <v>26</v>
      </c>
      <c r="F13" s="75">
        <v>-8</v>
      </c>
      <c r="G13" s="43">
        <f>E13*F13</f>
        <v>-208</v>
      </c>
      <c r="H13" s="3"/>
      <c r="I13" s="43" t="s">
        <v>207</v>
      </c>
      <c r="J13" s="43" t="s">
        <v>206</v>
      </c>
      <c r="K13" s="176">
        <f>D13</f>
        <v>26</v>
      </c>
      <c r="L13" s="238">
        <v>20</v>
      </c>
      <c r="M13" s="43">
        <f>K13*L13</f>
        <v>520</v>
      </c>
    </row>
    <row r="14" spans="2:13" ht="12.75">
      <c r="B14" s="43" t="s">
        <v>280</v>
      </c>
      <c r="C14" s="132">
        <v>1</v>
      </c>
      <c r="D14" s="353">
        <f>Gewichte!C62</f>
        <v>23</v>
      </c>
      <c r="E14" s="347">
        <f t="shared" si="0"/>
        <v>23</v>
      </c>
      <c r="F14" s="75">
        <v>-15</v>
      </c>
      <c r="G14" s="43">
        <f aca="true" t="shared" si="1" ref="G14:G21">E14*F14</f>
        <v>-345</v>
      </c>
      <c r="H14" s="3"/>
      <c r="I14" s="43" t="s">
        <v>208</v>
      </c>
      <c r="J14" s="43" t="s">
        <v>206</v>
      </c>
      <c r="K14" s="176">
        <f>D14</f>
        <v>23</v>
      </c>
      <c r="L14" s="238">
        <v>20</v>
      </c>
      <c r="M14" s="43">
        <f aca="true" t="shared" si="2" ref="M14:M20">K14*L14</f>
        <v>460</v>
      </c>
    </row>
    <row r="15" spans="2:13" ht="12.75">
      <c r="B15" s="43" t="str">
        <f>Gewichte!B57</f>
        <v>Motor AXI 2826/12 mit Heckflansch &amp; Mitnehmer</v>
      </c>
      <c r="C15" s="132">
        <v>1</v>
      </c>
      <c r="D15" s="353">
        <f>Gewichte!C57</f>
        <v>210</v>
      </c>
      <c r="E15" s="347">
        <f t="shared" si="0"/>
        <v>210</v>
      </c>
      <c r="F15" s="75">
        <v>35</v>
      </c>
      <c r="G15" s="43">
        <f t="shared" si="1"/>
        <v>7350</v>
      </c>
      <c r="H15" s="3"/>
      <c r="I15" s="43" t="s">
        <v>209</v>
      </c>
      <c r="J15" s="43" t="s">
        <v>206</v>
      </c>
      <c r="K15" s="176">
        <f>D15</f>
        <v>210</v>
      </c>
      <c r="L15" s="238">
        <v>20</v>
      </c>
      <c r="M15" s="43">
        <f t="shared" si="2"/>
        <v>4200</v>
      </c>
    </row>
    <row r="16" spans="2:13" ht="12.75">
      <c r="B16" s="43" t="s">
        <v>364</v>
      </c>
      <c r="C16" s="132">
        <v>1</v>
      </c>
      <c r="D16" s="353">
        <f>Gewichte!C63</f>
        <v>78</v>
      </c>
      <c r="E16" s="347">
        <f t="shared" si="0"/>
        <v>78</v>
      </c>
      <c r="F16" s="75">
        <v>235</v>
      </c>
      <c r="G16" s="43">
        <f t="shared" si="1"/>
        <v>18330</v>
      </c>
      <c r="H16" s="3" t="s">
        <v>332</v>
      </c>
      <c r="I16" s="43" t="str">
        <f>B18</f>
        <v>Batterie 5S 2600 mAh</v>
      </c>
      <c r="J16" s="43" t="s">
        <v>206</v>
      </c>
      <c r="K16" s="176">
        <f>D18</f>
        <v>330</v>
      </c>
      <c r="L16" s="238">
        <v>15</v>
      </c>
      <c r="M16" s="43">
        <f t="shared" si="2"/>
        <v>4950</v>
      </c>
    </row>
    <row r="17" spans="2:13" ht="12.75">
      <c r="B17" s="43" t="str">
        <f>Gewichte!B64</f>
        <v>Timer FM-9 mit Support &amp; Taste</v>
      </c>
      <c r="C17" s="132">
        <v>1</v>
      </c>
      <c r="D17" s="353">
        <f>Gewichte!C64</f>
        <v>11</v>
      </c>
      <c r="E17" s="347">
        <f t="shared" si="0"/>
        <v>11</v>
      </c>
      <c r="F17" s="75">
        <v>170</v>
      </c>
      <c r="G17" s="43">
        <f t="shared" si="1"/>
        <v>1870</v>
      </c>
      <c r="H17" s="3"/>
      <c r="I17" s="43" t="s">
        <v>272</v>
      </c>
      <c r="J17" s="43" t="s">
        <v>206</v>
      </c>
      <c r="K17" s="176">
        <f>D16</f>
        <v>78</v>
      </c>
      <c r="L17" s="238">
        <v>-25</v>
      </c>
      <c r="M17" s="43">
        <f t="shared" si="2"/>
        <v>-1950</v>
      </c>
    </row>
    <row r="18" spans="2:13" ht="12.75">
      <c r="B18" s="43" t="str">
        <f>Gewichte!B48</f>
        <v>Batterie 5S 2600 mAh</v>
      </c>
      <c r="C18" s="132">
        <v>1</v>
      </c>
      <c r="D18" s="353">
        <f>Gewichte!C48</f>
        <v>330</v>
      </c>
      <c r="E18" s="347">
        <f t="shared" si="0"/>
        <v>330</v>
      </c>
      <c r="F18" s="75">
        <v>156</v>
      </c>
      <c r="G18" s="43">
        <f t="shared" si="1"/>
        <v>51480</v>
      </c>
      <c r="H18" s="3" t="s">
        <v>349</v>
      </c>
      <c r="I18" s="43" t="s">
        <v>353</v>
      </c>
      <c r="J18" s="43" t="s">
        <v>206</v>
      </c>
      <c r="K18" s="179">
        <f>D17</f>
        <v>11</v>
      </c>
      <c r="L18" s="238">
        <v>70</v>
      </c>
      <c r="M18" s="43">
        <f t="shared" si="2"/>
        <v>770</v>
      </c>
    </row>
    <row r="19" spans="2:13" ht="12.75">
      <c r="B19" s="43"/>
      <c r="C19" s="132"/>
      <c r="D19" s="267"/>
      <c r="E19" s="268"/>
      <c r="F19" s="266"/>
      <c r="G19" s="43">
        <f t="shared" si="1"/>
        <v>0</v>
      </c>
      <c r="H19" s="3" t="s">
        <v>360</v>
      </c>
      <c r="I19" s="43"/>
      <c r="J19" s="43"/>
      <c r="K19" s="162"/>
      <c r="L19" s="162"/>
      <c r="M19" s="43">
        <f t="shared" si="2"/>
        <v>0</v>
      </c>
    </row>
    <row r="20" spans="2:13" ht="12.75">
      <c r="B20" s="43"/>
      <c r="C20" s="132"/>
      <c r="D20" s="267"/>
      <c r="E20" s="268"/>
      <c r="F20" s="266"/>
      <c r="G20" s="43">
        <f t="shared" si="1"/>
        <v>0</v>
      </c>
      <c r="H20" t="s">
        <v>361</v>
      </c>
      <c r="I20" s="43" t="s">
        <v>287</v>
      </c>
      <c r="J20" s="43"/>
      <c r="K20" s="174">
        <f>Höhenleitwerk!F88</f>
        <v>118.95206</v>
      </c>
      <c r="L20" s="238">
        <v>20</v>
      </c>
      <c r="M20" s="43">
        <f t="shared" si="2"/>
        <v>2379.0412</v>
      </c>
    </row>
    <row r="21" spans="2:13" ht="12.75">
      <c r="B21" s="43"/>
      <c r="C21" s="132"/>
      <c r="D21" s="266"/>
      <c r="E21" s="268"/>
      <c r="F21" s="266"/>
      <c r="G21" s="43">
        <f t="shared" si="1"/>
        <v>0</v>
      </c>
      <c r="H21" s="3" t="s">
        <v>362</v>
      </c>
      <c r="I21" s="43"/>
      <c r="J21" s="43"/>
      <c r="K21" s="162"/>
      <c r="L21" s="162"/>
      <c r="M21" s="43"/>
    </row>
    <row r="22" spans="2:13" ht="12.75">
      <c r="B22" s="43"/>
      <c r="C22" s="125"/>
      <c r="D22" s="134"/>
      <c r="E22" s="241"/>
      <c r="F22" s="134"/>
      <c r="G22" s="162"/>
      <c r="H22" s="3"/>
      <c r="I22" s="43"/>
      <c r="J22" s="43"/>
      <c r="K22" s="225"/>
      <c r="L22" s="162"/>
      <c r="M22" s="43"/>
    </row>
    <row r="23" spans="2:13" ht="12.75">
      <c r="B23" s="43"/>
      <c r="C23" s="43"/>
      <c r="D23" s="114"/>
      <c r="E23" s="123"/>
      <c r="F23" s="43"/>
      <c r="G23" s="43"/>
      <c r="H23" s="3"/>
      <c r="I23" s="43"/>
      <c r="J23" s="43"/>
      <c r="K23" s="43"/>
      <c r="L23" s="43"/>
      <c r="M23" s="43"/>
    </row>
    <row r="24" spans="2:13" ht="15.75">
      <c r="B24" s="113" t="s">
        <v>89</v>
      </c>
      <c r="C24" s="43"/>
      <c r="D24" s="114"/>
      <c r="E24" s="158">
        <f>SUM(E13:E22)</f>
        <v>678</v>
      </c>
      <c r="F24" s="43"/>
      <c r="G24" s="43">
        <f>SUM(G13:G22)</f>
        <v>78477</v>
      </c>
      <c r="H24" s="3"/>
      <c r="I24" s="115" t="s">
        <v>288</v>
      </c>
      <c r="J24" s="43" t="s">
        <v>214</v>
      </c>
      <c r="K24" s="216">
        <f>K22+K21+K20+K19+K18+K17+K16+K15+K14+K13</f>
        <v>796.9520600000001</v>
      </c>
      <c r="L24" s="102">
        <f>M24/K24</f>
        <v>14.215461341551709</v>
      </c>
      <c r="M24" s="240">
        <f>M13+M14+M15+M16+M17+M18+M20</f>
        <v>11329.0412</v>
      </c>
    </row>
    <row r="25" spans="2:13" ht="12.75">
      <c r="B25" s="43" t="s">
        <v>90</v>
      </c>
      <c r="C25" s="43"/>
      <c r="D25" s="114"/>
      <c r="E25" s="123"/>
      <c r="F25" s="102">
        <f>G24/E24</f>
        <v>115.74778761061947</v>
      </c>
      <c r="G25" s="43"/>
      <c r="H25" s="3"/>
      <c r="I25" s="3"/>
      <c r="J25" s="3"/>
      <c r="K25" s="3"/>
      <c r="L25" s="3"/>
      <c r="M25" s="3"/>
    </row>
    <row r="26" spans="2:13" ht="12.75">
      <c r="B26" s="43"/>
      <c r="C26" s="43"/>
      <c r="D26" s="114"/>
      <c r="E26" s="123"/>
      <c r="F26" s="43"/>
      <c r="G26" s="43"/>
      <c r="H26" s="3"/>
      <c r="I26" s="3"/>
      <c r="J26" s="3"/>
      <c r="K26" s="3"/>
      <c r="L26" s="3"/>
      <c r="M26" s="3"/>
    </row>
    <row r="27" spans="2:13" ht="15.75">
      <c r="B27" s="113" t="s">
        <v>369</v>
      </c>
      <c r="C27" s="132">
        <v>1</v>
      </c>
      <c r="D27" s="351">
        <f>Gewichte!C41+Gewichte!C42+Gewichte!C43</f>
        <v>88</v>
      </c>
      <c r="E27" s="352">
        <f>C27*D27</f>
        <v>88</v>
      </c>
      <c r="F27" s="75">
        <v>320</v>
      </c>
      <c r="G27" s="124">
        <f>E27*F27</f>
        <v>28160</v>
      </c>
      <c r="H27" s="3"/>
      <c r="I27" s="115" t="s">
        <v>285</v>
      </c>
      <c r="J27" s="43" t="s">
        <v>206</v>
      </c>
      <c r="K27" s="43"/>
      <c r="L27" s="295"/>
      <c r="M27" s="295"/>
    </row>
    <row r="28" spans="2:13" ht="12.75">
      <c r="B28" s="43"/>
      <c r="C28" s="43"/>
      <c r="D28" s="114"/>
      <c r="E28" s="175"/>
      <c r="F28" s="43"/>
      <c r="G28" s="43"/>
      <c r="I28" s="43"/>
      <c r="J28" s="43"/>
      <c r="K28" s="43"/>
      <c r="L28" s="43"/>
      <c r="M28" s="43"/>
    </row>
    <row r="29" spans="2:13" ht="15.75">
      <c r="B29" s="113" t="s">
        <v>88</v>
      </c>
      <c r="C29" s="132">
        <v>1</v>
      </c>
      <c r="D29" s="75">
        <v>7</v>
      </c>
      <c r="E29" s="346">
        <f>C29*D29</f>
        <v>7</v>
      </c>
      <c r="F29" s="75">
        <v>950</v>
      </c>
      <c r="G29" s="124">
        <f>E29*F29</f>
        <v>6650</v>
      </c>
      <c r="H29" s="3"/>
      <c r="I29" s="162" t="s">
        <v>286</v>
      </c>
      <c r="J29" s="162" t="s">
        <v>206</v>
      </c>
      <c r="K29" s="297">
        <f>E27</f>
        <v>88</v>
      </c>
      <c r="L29" s="43">
        <v>130</v>
      </c>
      <c r="M29" s="43">
        <f>K29*L29</f>
        <v>11440</v>
      </c>
    </row>
    <row r="30" spans="2:13" ht="12.75">
      <c r="B30" s="43"/>
      <c r="C30" s="43"/>
      <c r="D30" s="114"/>
      <c r="E30" s="123"/>
      <c r="F30" s="43"/>
      <c r="G30" s="43"/>
      <c r="I30" s="162" t="s">
        <v>88</v>
      </c>
      <c r="J30" s="162" t="s">
        <v>206</v>
      </c>
      <c r="K30" s="297">
        <f>E29</f>
        <v>7</v>
      </c>
      <c r="L30" s="43">
        <v>65</v>
      </c>
      <c r="M30" s="124">
        <f>K30*L30</f>
        <v>455</v>
      </c>
    </row>
    <row r="31" spans="4:13" ht="12.75">
      <c r="D31" s="2"/>
      <c r="E31" s="33"/>
      <c r="I31" s="43"/>
      <c r="J31" s="43"/>
      <c r="K31" s="43"/>
      <c r="L31" s="43"/>
      <c r="M31" s="124"/>
    </row>
    <row r="32" spans="4:13" ht="12.75">
      <c r="D32" s="2"/>
      <c r="E32" s="33"/>
      <c r="I32" s="43" t="s">
        <v>285</v>
      </c>
      <c r="J32" s="43" t="s">
        <v>214</v>
      </c>
      <c r="K32" s="102">
        <f>K29+K30</f>
        <v>95</v>
      </c>
      <c r="L32" s="102">
        <f>M32/K32</f>
        <v>125.21052631578948</v>
      </c>
      <c r="M32" s="298">
        <f>M30+M29</f>
        <v>11895</v>
      </c>
    </row>
    <row r="33" spans="2:5" ht="12.75">
      <c r="B33" t="s">
        <v>370</v>
      </c>
      <c r="C33" t="s">
        <v>289</v>
      </c>
      <c r="D33" s="2"/>
      <c r="E33" s="33" t="s">
        <v>290</v>
      </c>
    </row>
    <row r="34" spans="2:13" ht="12.75">
      <c r="B34" s="22"/>
      <c r="D34" s="34"/>
      <c r="E34" s="33"/>
      <c r="I34" s="43"/>
      <c r="J34" s="237" t="s">
        <v>273</v>
      </c>
      <c r="K34" s="237"/>
      <c r="L34" s="43"/>
      <c r="M34" s="43"/>
    </row>
    <row r="35" spans="2:13" ht="12.75">
      <c r="B35" s="11"/>
      <c r="C35" s="1"/>
      <c r="D35" s="2"/>
      <c r="E35" s="35"/>
      <c r="I35" s="43"/>
      <c r="J35" s="43"/>
      <c r="K35" s="43"/>
      <c r="L35" s="43"/>
      <c r="M35" s="43"/>
    </row>
    <row r="36" spans="9:13" ht="12.75">
      <c r="I36" s="43" t="str">
        <f>I32</f>
        <v>Fahrwerke</v>
      </c>
      <c r="J36" s="43" t="s">
        <v>211</v>
      </c>
      <c r="K36" s="43"/>
      <c r="L36" s="182">
        <f>K28+K29+K30</f>
        <v>95</v>
      </c>
      <c r="M36" s="218">
        <f>M32</f>
        <v>11895</v>
      </c>
    </row>
    <row r="37" spans="9:13" ht="13.5" thickBot="1">
      <c r="I37" s="43" t="str">
        <f>I24</f>
        <v>Antrieb und Leitwerk</v>
      </c>
      <c r="J37" s="162" t="s">
        <v>211</v>
      </c>
      <c r="K37" s="162"/>
      <c r="L37" s="215">
        <f>K24</f>
        <v>796.9520600000001</v>
      </c>
      <c r="M37" s="292">
        <f>M24</f>
        <v>11329.0412</v>
      </c>
    </row>
    <row r="38" spans="9:13" ht="13.5" thickBot="1">
      <c r="I38" s="162" t="s">
        <v>215</v>
      </c>
      <c r="J38" s="162" t="s">
        <v>274</v>
      </c>
      <c r="K38" s="202"/>
      <c r="L38" s="198"/>
      <c r="M38" s="293">
        <f>M37-M36</f>
        <v>-565.9588000000003</v>
      </c>
    </row>
    <row r="39" spans="9:13" ht="13.5" thickBot="1">
      <c r="I39" s="43"/>
      <c r="J39" s="299" t="s">
        <v>291</v>
      </c>
      <c r="K39" s="301">
        <f>M38/750</f>
        <v>-0.7546117333333338</v>
      </c>
      <c r="L39" s="300" t="s">
        <v>141</v>
      </c>
      <c r="M39" s="294"/>
    </row>
  </sheetData>
  <mergeCells count="1">
    <mergeCell ref="C8:F8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46"/>
  <sheetViews>
    <sheetView workbookViewId="0" topLeftCell="A79">
      <selection activeCell="F100" sqref="F100"/>
    </sheetView>
  </sheetViews>
  <sheetFormatPr defaultColWidth="11.421875" defaultRowHeight="12.75"/>
  <cols>
    <col min="1" max="1" width="2.7109375" style="0" customWidth="1"/>
    <col min="2" max="2" width="42.7109375" style="0" customWidth="1"/>
    <col min="3" max="3" width="9.57421875" style="36" customWidth="1"/>
    <col min="4" max="4" width="8.140625" style="0" customWidth="1"/>
    <col min="5" max="5" width="8.8515625" style="0" customWidth="1"/>
    <col min="6" max="6" width="10.7109375" style="0" customWidth="1"/>
    <col min="7" max="7" width="11.00390625" style="0" customWidth="1"/>
    <col min="8" max="8" width="14.140625" style="0" customWidth="1"/>
  </cols>
  <sheetData>
    <row r="2" spans="2:6" ht="12.75">
      <c r="B2" s="44" t="s">
        <v>127</v>
      </c>
      <c r="C2" s="75" t="s">
        <v>140</v>
      </c>
      <c r="F2" s="42"/>
    </row>
    <row r="3" spans="2:3" ht="12.75">
      <c r="B3" s="48" t="s">
        <v>128</v>
      </c>
      <c r="C3" s="77"/>
    </row>
    <row r="4" spans="2:3" ht="12.75">
      <c r="B4" s="43" t="s">
        <v>132</v>
      </c>
      <c r="C4" s="43"/>
    </row>
    <row r="5" spans="2:3" ht="12.75">
      <c r="B5" s="44" t="s">
        <v>145</v>
      </c>
      <c r="C5" s="182"/>
    </row>
    <row r="6" spans="2:3" ht="12.75">
      <c r="B6" s="130" t="s">
        <v>144</v>
      </c>
      <c r="C6" s="179"/>
    </row>
    <row r="7" ht="13.5" thickBot="1"/>
    <row r="8" spans="2:8" ht="42.75" customHeight="1" thickBot="1">
      <c r="B8" s="113" t="s">
        <v>33</v>
      </c>
      <c r="C8" s="328" t="str">
        <f>Schwerpunktrechnung!D18</f>
        <v>Datum Rückseite Spinner</v>
      </c>
      <c r="D8" s="329"/>
      <c r="E8" s="329"/>
      <c r="F8" s="329"/>
      <c r="G8" s="330"/>
      <c r="H8" s="245"/>
    </row>
    <row r="9" spans="2:8" ht="12.75">
      <c r="B9" s="114" t="s">
        <v>77</v>
      </c>
      <c r="C9" s="349">
        <f>Abmessungen!B66</f>
        <v>39.14</v>
      </c>
      <c r="D9" s="43"/>
      <c r="E9" s="115"/>
      <c r="F9" s="115"/>
      <c r="G9" s="244">
        <f>Schwerpunktrechnung!E2</f>
        <v>40570</v>
      </c>
      <c r="H9" s="137"/>
    </row>
    <row r="10" spans="2:8" ht="12.75">
      <c r="B10" s="114" t="s">
        <v>65</v>
      </c>
      <c r="C10" s="123" t="s">
        <v>34</v>
      </c>
      <c r="D10" s="43"/>
      <c r="E10" s="115"/>
      <c r="F10" s="115"/>
      <c r="G10" s="116"/>
      <c r="H10" s="43"/>
    </row>
    <row r="11" spans="2:8" ht="12.75">
      <c r="B11" s="114"/>
      <c r="C11" s="123"/>
      <c r="D11" s="115"/>
      <c r="E11" s="115"/>
      <c r="F11" s="115"/>
      <c r="G11" s="116"/>
      <c r="H11" s="43"/>
    </row>
    <row r="12" spans="2:8" ht="38.25">
      <c r="B12" s="114"/>
      <c r="C12" s="123"/>
      <c r="D12" s="117" t="s">
        <v>50</v>
      </c>
      <c r="E12" s="117" t="s">
        <v>41</v>
      </c>
      <c r="F12" s="117" t="s">
        <v>0</v>
      </c>
      <c r="G12" s="118" t="s">
        <v>51</v>
      </c>
      <c r="H12" s="119" t="s">
        <v>2</v>
      </c>
    </row>
    <row r="13" spans="2:8" ht="12.75">
      <c r="B13" s="115"/>
      <c r="C13" s="133"/>
      <c r="D13" s="115"/>
      <c r="E13" s="115"/>
      <c r="F13" s="115"/>
      <c r="G13" s="116"/>
      <c r="H13" s="43"/>
    </row>
    <row r="14" spans="2:8" ht="25.5">
      <c r="B14" s="205" t="s">
        <v>299</v>
      </c>
      <c r="C14" s="144"/>
      <c r="D14" s="132">
        <v>2</v>
      </c>
      <c r="E14" s="75">
        <v>28</v>
      </c>
      <c r="F14" s="185">
        <f>D14*E14</f>
        <v>56</v>
      </c>
      <c r="G14" s="75">
        <v>535</v>
      </c>
      <c r="H14" s="124">
        <f>F14*G14</f>
        <v>29960</v>
      </c>
    </row>
    <row r="15" spans="2:8" ht="12.75">
      <c r="B15" s="43"/>
      <c r="C15" s="144"/>
      <c r="D15" s="132"/>
      <c r="E15" s="75"/>
      <c r="F15" s="185">
        <f>D15*E15</f>
        <v>0</v>
      </c>
      <c r="G15" s="75"/>
      <c r="H15" s="124">
        <f aca="true" t="shared" si="0" ref="H15:H39">F15*G15</f>
        <v>0</v>
      </c>
    </row>
    <row r="16" spans="2:8" ht="12.75">
      <c r="B16" s="43" t="s">
        <v>306</v>
      </c>
      <c r="C16" s="144"/>
      <c r="D16" s="132">
        <v>1</v>
      </c>
      <c r="E16" s="75">
        <v>22</v>
      </c>
      <c r="F16" s="185">
        <f>D16*E16</f>
        <v>22</v>
      </c>
      <c r="G16" s="75">
        <v>85</v>
      </c>
      <c r="H16" s="124">
        <f t="shared" si="0"/>
        <v>1870</v>
      </c>
    </row>
    <row r="17" spans="2:8" ht="12.75">
      <c r="B17" s="43" t="s">
        <v>302</v>
      </c>
      <c r="C17" s="144"/>
      <c r="D17" s="132">
        <v>1</v>
      </c>
      <c r="E17" s="75">
        <v>25</v>
      </c>
      <c r="F17" s="185">
        <f>D17*E17</f>
        <v>25</v>
      </c>
      <c r="G17" s="75">
        <v>160</v>
      </c>
      <c r="H17" s="124">
        <f t="shared" si="0"/>
        <v>4000</v>
      </c>
    </row>
    <row r="18" spans="2:8" ht="12.75">
      <c r="B18" s="43" t="s">
        <v>298</v>
      </c>
      <c r="C18" s="144"/>
      <c r="D18" s="132">
        <v>1</v>
      </c>
      <c r="E18" s="75">
        <v>12</v>
      </c>
      <c r="F18" s="185">
        <f aca="true" t="shared" si="1" ref="F18:F39">D18*E18</f>
        <v>12</v>
      </c>
      <c r="G18" s="75">
        <v>275</v>
      </c>
      <c r="H18" s="124">
        <f t="shared" si="0"/>
        <v>3300</v>
      </c>
    </row>
    <row r="19" spans="2:8" ht="12.75">
      <c r="B19" s="43" t="s">
        <v>292</v>
      </c>
      <c r="C19" s="144"/>
      <c r="D19" s="132">
        <v>1</v>
      </c>
      <c r="E19" s="75">
        <v>7</v>
      </c>
      <c r="F19" s="185">
        <f t="shared" si="1"/>
        <v>7</v>
      </c>
      <c r="G19" s="75">
        <v>955</v>
      </c>
      <c r="H19" s="124">
        <f t="shared" si="0"/>
        <v>6685</v>
      </c>
    </row>
    <row r="20" spans="2:8" ht="12.75">
      <c r="B20" s="43" t="s">
        <v>79</v>
      </c>
      <c r="C20" s="144"/>
      <c r="D20" s="132">
        <v>1</v>
      </c>
      <c r="E20" s="75">
        <v>4</v>
      </c>
      <c r="F20" s="185">
        <f t="shared" si="1"/>
        <v>4</v>
      </c>
      <c r="G20" s="75">
        <v>515</v>
      </c>
      <c r="H20" s="124">
        <f t="shared" si="0"/>
        <v>2060</v>
      </c>
    </row>
    <row r="21" spans="2:8" ht="12.75">
      <c r="B21" s="43" t="s">
        <v>320</v>
      </c>
      <c r="C21" s="144"/>
      <c r="D21" s="132">
        <v>1</v>
      </c>
      <c r="E21" s="75">
        <v>7</v>
      </c>
      <c r="F21" s="185">
        <f t="shared" si="1"/>
        <v>7</v>
      </c>
      <c r="G21" s="75">
        <v>155</v>
      </c>
      <c r="H21" s="124">
        <f t="shared" si="0"/>
        <v>1085</v>
      </c>
    </row>
    <row r="22" spans="2:8" ht="12.75">
      <c r="B22" s="43" t="s">
        <v>293</v>
      </c>
      <c r="C22" s="144"/>
      <c r="D22" s="132">
        <v>8</v>
      </c>
      <c r="E22" s="75">
        <v>1</v>
      </c>
      <c r="F22" s="185">
        <f t="shared" si="1"/>
        <v>8</v>
      </c>
      <c r="G22" s="75">
        <v>720</v>
      </c>
      <c r="H22" s="124">
        <f t="shared" si="0"/>
        <v>5760</v>
      </c>
    </row>
    <row r="23" spans="2:8" ht="12.75">
      <c r="B23" s="43" t="s">
        <v>294</v>
      </c>
      <c r="C23" s="144"/>
      <c r="D23" s="132">
        <v>1</v>
      </c>
      <c r="E23" s="75">
        <v>9</v>
      </c>
      <c r="F23" s="185">
        <f t="shared" si="1"/>
        <v>9</v>
      </c>
      <c r="G23" s="75">
        <v>690</v>
      </c>
      <c r="H23" s="124">
        <f t="shared" si="0"/>
        <v>6210</v>
      </c>
    </row>
    <row r="24" spans="2:8" ht="12.75">
      <c r="B24" s="43" t="s">
        <v>301</v>
      </c>
      <c r="C24" s="144"/>
      <c r="D24" s="132">
        <v>1</v>
      </c>
      <c r="E24" s="75">
        <v>11</v>
      </c>
      <c r="F24" s="185">
        <f t="shared" si="1"/>
        <v>11</v>
      </c>
      <c r="G24" s="75">
        <v>400</v>
      </c>
      <c r="H24" s="124">
        <f t="shared" si="0"/>
        <v>4400</v>
      </c>
    </row>
    <row r="25" spans="2:8" ht="12.75">
      <c r="B25" s="205" t="s">
        <v>300</v>
      </c>
      <c r="C25" s="144"/>
      <c r="D25" s="132">
        <v>1</v>
      </c>
      <c r="E25" s="75">
        <v>7</v>
      </c>
      <c r="F25" s="185">
        <f t="shared" si="1"/>
        <v>7</v>
      </c>
      <c r="G25" s="75">
        <v>155</v>
      </c>
      <c r="H25" s="124">
        <f t="shared" si="0"/>
        <v>1085</v>
      </c>
    </row>
    <row r="26" spans="2:8" ht="12.75">
      <c r="B26" s="43" t="s">
        <v>315</v>
      </c>
      <c r="C26" s="144"/>
      <c r="D26" s="132">
        <v>1</v>
      </c>
      <c r="E26" s="75">
        <v>5</v>
      </c>
      <c r="F26" s="185">
        <f t="shared" si="1"/>
        <v>5</v>
      </c>
      <c r="G26" s="75">
        <v>1005</v>
      </c>
      <c r="H26" s="124">
        <f t="shared" si="0"/>
        <v>5025</v>
      </c>
    </row>
    <row r="27" spans="2:8" ht="12.75">
      <c r="B27" s="43"/>
      <c r="C27" s="144"/>
      <c r="D27" s="132"/>
      <c r="E27" s="75"/>
      <c r="F27" s="185">
        <f t="shared" si="1"/>
        <v>0</v>
      </c>
      <c r="G27" s="75"/>
      <c r="H27" s="124">
        <f t="shared" si="0"/>
        <v>0</v>
      </c>
    </row>
    <row r="28" spans="2:8" ht="12.75">
      <c r="B28" s="43" t="s">
        <v>295</v>
      </c>
      <c r="C28" s="144"/>
      <c r="D28" s="132"/>
      <c r="E28" s="75">
        <v>14</v>
      </c>
      <c r="F28" s="185">
        <f t="shared" si="1"/>
        <v>0</v>
      </c>
      <c r="G28" s="75">
        <v>800</v>
      </c>
      <c r="H28" s="124">
        <f t="shared" si="0"/>
        <v>0</v>
      </c>
    </row>
    <row r="29" spans="2:8" ht="12.75">
      <c r="B29" s="43" t="s">
        <v>296</v>
      </c>
      <c r="C29" s="144"/>
      <c r="D29" s="132">
        <v>1</v>
      </c>
      <c r="E29" s="75">
        <v>23</v>
      </c>
      <c r="F29" s="185">
        <f t="shared" si="1"/>
        <v>23</v>
      </c>
      <c r="G29" s="75">
        <v>320</v>
      </c>
      <c r="H29" s="124">
        <f t="shared" si="0"/>
        <v>7360</v>
      </c>
    </row>
    <row r="30" spans="2:8" ht="12.75">
      <c r="B30" s="43" t="s">
        <v>297</v>
      </c>
      <c r="C30" s="144"/>
      <c r="D30" s="132">
        <v>1</v>
      </c>
      <c r="E30" s="75">
        <v>5</v>
      </c>
      <c r="F30" s="185">
        <f t="shared" si="1"/>
        <v>5</v>
      </c>
      <c r="G30" s="75">
        <v>955</v>
      </c>
      <c r="H30" s="124">
        <f t="shared" si="0"/>
        <v>4775</v>
      </c>
    </row>
    <row r="31" spans="2:8" ht="12.75">
      <c r="B31" s="43" t="s">
        <v>305</v>
      </c>
      <c r="C31" s="144"/>
      <c r="D31" s="132">
        <v>1</v>
      </c>
      <c r="E31" s="75">
        <v>15</v>
      </c>
      <c r="F31" s="185">
        <f t="shared" si="1"/>
        <v>15</v>
      </c>
      <c r="G31" s="75">
        <v>35</v>
      </c>
      <c r="H31" s="124">
        <f t="shared" si="0"/>
        <v>525</v>
      </c>
    </row>
    <row r="32" spans="2:8" ht="12.75">
      <c r="B32" s="43"/>
      <c r="C32" s="144"/>
      <c r="D32" s="132"/>
      <c r="E32" s="75"/>
      <c r="F32" s="185">
        <f t="shared" si="1"/>
        <v>0</v>
      </c>
      <c r="G32" s="75"/>
      <c r="H32" s="124">
        <f t="shared" si="0"/>
        <v>0</v>
      </c>
    </row>
    <row r="33" spans="2:10" ht="12.75">
      <c r="B33" s="43" t="s">
        <v>284</v>
      </c>
      <c r="C33" s="144"/>
      <c r="D33" s="132">
        <v>1</v>
      </c>
      <c r="E33" s="75">
        <v>28</v>
      </c>
      <c r="F33" s="185">
        <f>D33*E33</f>
        <v>28</v>
      </c>
      <c r="G33" s="75">
        <v>395</v>
      </c>
      <c r="H33" s="124">
        <f t="shared" si="0"/>
        <v>11060</v>
      </c>
      <c r="J33" s="36"/>
    </row>
    <row r="34" spans="2:10" ht="12.75">
      <c r="B34" s="43" t="s">
        <v>316</v>
      </c>
      <c r="C34" s="144"/>
      <c r="D34" s="132">
        <v>1</v>
      </c>
      <c r="E34" s="75">
        <v>4</v>
      </c>
      <c r="F34" s="185">
        <f>D34*E34</f>
        <v>4</v>
      </c>
      <c r="G34" s="75">
        <v>510</v>
      </c>
      <c r="H34" s="124">
        <f t="shared" si="0"/>
        <v>2040</v>
      </c>
      <c r="J34" s="36"/>
    </row>
    <row r="35" spans="2:8" ht="12.75">
      <c r="B35" s="43" t="s">
        <v>217</v>
      </c>
      <c r="C35" s="144"/>
      <c r="D35" s="132">
        <v>1</v>
      </c>
      <c r="E35" s="75">
        <v>25</v>
      </c>
      <c r="F35" s="185">
        <f t="shared" si="1"/>
        <v>25</v>
      </c>
      <c r="G35" s="75">
        <v>695</v>
      </c>
      <c r="H35" s="124">
        <f t="shared" si="0"/>
        <v>17375</v>
      </c>
    </row>
    <row r="36" spans="2:8" ht="12.75">
      <c r="B36" s="43"/>
      <c r="C36" s="144"/>
      <c r="D36" s="132"/>
      <c r="E36" s="75"/>
      <c r="F36" s="185"/>
      <c r="G36" s="75"/>
      <c r="H36" s="124"/>
    </row>
    <row r="37" spans="2:8" ht="12.75">
      <c r="B37" s="43"/>
      <c r="C37" s="144"/>
      <c r="D37" s="132"/>
      <c r="E37" s="75"/>
      <c r="F37" s="185">
        <f t="shared" si="1"/>
        <v>0</v>
      </c>
      <c r="G37" s="75"/>
      <c r="H37" s="124">
        <f t="shared" si="0"/>
        <v>0</v>
      </c>
    </row>
    <row r="38" spans="2:8" ht="12.75">
      <c r="B38" s="43"/>
      <c r="C38" s="144"/>
      <c r="D38" s="132"/>
      <c r="E38" s="75"/>
      <c r="F38" s="185">
        <f t="shared" si="1"/>
        <v>0</v>
      </c>
      <c r="G38" s="75"/>
      <c r="H38" s="124">
        <f t="shared" si="0"/>
        <v>0</v>
      </c>
    </row>
    <row r="39" spans="2:8" ht="12.75">
      <c r="B39" s="43" t="s">
        <v>142</v>
      </c>
      <c r="C39" s="144"/>
      <c r="D39" s="132">
        <v>1</v>
      </c>
      <c r="E39" s="75">
        <v>12</v>
      </c>
      <c r="F39" s="185">
        <f t="shared" si="1"/>
        <v>12</v>
      </c>
      <c r="G39" s="75">
        <v>500</v>
      </c>
      <c r="H39" s="124">
        <f t="shared" si="0"/>
        <v>6000</v>
      </c>
    </row>
    <row r="40" spans="2:8" ht="12.75">
      <c r="B40" s="120"/>
      <c r="C40" s="144"/>
      <c r="D40" s="43"/>
      <c r="E40" s="130"/>
      <c r="F40" s="145"/>
      <c r="G40" s="43"/>
      <c r="H40" s="43"/>
    </row>
    <row r="41" spans="2:8" ht="12.75">
      <c r="B41" s="117" t="s">
        <v>35</v>
      </c>
      <c r="C41" s="146"/>
      <c r="D41" s="115"/>
      <c r="E41" s="114"/>
      <c r="F41" s="102">
        <f>SUM(F14:F40)</f>
        <v>285</v>
      </c>
      <c r="G41" s="102">
        <f>H41/F41</f>
        <v>423.0701754385965</v>
      </c>
      <c r="H41" s="124">
        <f>SUM(H14:H40)</f>
        <v>120575</v>
      </c>
    </row>
    <row r="42" spans="2:8" ht="12.75">
      <c r="B42" s="120" t="s">
        <v>49</v>
      </c>
      <c r="C42" s="144"/>
      <c r="D42" s="43"/>
      <c r="E42" s="114"/>
      <c r="F42" s="75">
        <v>-4</v>
      </c>
      <c r="G42" s="132">
        <v>250</v>
      </c>
      <c r="H42" s="124">
        <f>F42*G42</f>
        <v>-1000</v>
      </c>
    </row>
    <row r="43" spans="2:8" ht="12.75">
      <c r="B43" s="120"/>
      <c r="C43" s="144"/>
      <c r="D43" s="43"/>
      <c r="E43" s="114"/>
      <c r="F43" s="76"/>
      <c r="G43" s="134"/>
      <c r="H43" s="124"/>
    </row>
    <row r="44" spans="2:8" ht="12.75">
      <c r="B44" s="117" t="s">
        <v>66</v>
      </c>
      <c r="C44" s="146"/>
      <c r="D44" s="43"/>
      <c r="E44" s="114"/>
      <c r="F44" s="102">
        <f>F41+F42</f>
        <v>281</v>
      </c>
      <c r="G44" s="102">
        <f>H44/F44</f>
        <v>425.5338078291815</v>
      </c>
      <c r="H44" s="100">
        <f>H41+H42</f>
        <v>119575</v>
      </c>
    </row>
    <row r="45" spans="2:8" ht="12.75">
      <c r="B45" s="120"/>
      <c r="C45" s="144"/>
      <c r="D45" s="43"/>
      <c r="E45" s="43"/>
      <c r="F45" s="115"/>
      <c r="G45" s="43"/>
      <c r="H45" s="115"/>
    </row>
    <row r="46" spans="2:8" ht="25.5">
      <c r="B46" s="117" t="s">
        <v>36</v>
      </c>
      <c r="C46" s="146" t="s">
        <v>52</v>
      </c>
      <c r="D46" s="119" t="s">
        <v>4</v>
      </c>
      <c r="E46" s="119" t="s">
        <v>3</v>
      </c>
      <c r="F46" s="117" t="s">
        <v>0</v>
      </c>
      <c r="G46" s="118" t="s">
        <v>51</v>
      </c>
      <c r="H46" s="119" t="s">
        <v>2</v>
      </c>
    </row>
    <row r="47" spans="2:8" ht="12.75">
      <c r="B47" s="117"/>
      <c r="C47" s="146"/>
      <c r="D47" s="119"/>
      <c r="E47" s="119"/>
      <c r="F47" s="117"/>
      <c r="G47" s="118"/>
      <c r="H47" s="119"/>
    </row>
    <row r="48" spans="2:8" ht="12.75">
      <c r="B48" s="43" t="s">
        <v>182</v>
      </c>
      <c r="C48" s="144"/>
      <c r="D48" s="74">
        <v>17</v>
      </c>
      <c r="E48" s="77">
        <f>Gewichte!C89</f>
        <v>0.9</v>
      </c>
      <c r="F48" s="216">
        <f>D48*E48</f>
        <v>15.3</v>
      </c>
      <c r="G48" s="132">
        <v>370</v>
      </c>
      <c r="H48" s="124">
        <f aca="true" t="shared" si="2" ref="H48:H54">F48*G48</f>
        <v>5661</v>
      </c>
    </row>
    <row r="49" spans="2:8" ht="12.75">
      <c r="B49" s="43" t="s">
        <v>275</v>
      </c>
      <c r="C49" s="144"/>
      <c r="D49" s="216">
        <f>C9</f>
        <v>39.14</v>
      </c>
      <c r="E49" s="77">
        <f>Gewichte!C84</f>
        <v>0.181</v>
      </c>
      <c r="F49" s="216">
        <f>D49*E49</f>
        <v>7.08434</v>
      </c>
      <c r="G49" s="132">
        <v>750</v>
      </c>
      <c r="H49" s="124">
        <f t="shared" si="2"/>
        <v>5313.255</v>
      </c>
    </row>
    <row r="50" spans="2:8" ht="12.75">
      <c r="B50" s="43" t="s">
        <v>321</v>
      </c>
      <c r="C50" s="147">
        <v>4</v>
      </c>
      <c r="D50" s="216">
        <f>D49</f>
        <v>39.14</v>
      </c>
      <c r="E50" s="77">
        <f>Gewichte!C75</f>
        <v>0.13</v>
      </c>
      <c r="F50" s="216">
        <f>C50*D50*E50</f>
        <v>20.352800000000002</v>
      </c>
      <c r="G50" s="132">
        <v>750</v>
      </c>
      <c r="H50" s="124">
        <f t="shared" si="2"/>
        <v>15264.600000000002</v>
      </c>
    </row>
    <row r="51" spans="2:8" ht="12.75">
      <c r="B51" s="43"/>
      <c r="C51" s="211"/>
      <c r="D51" s="216"/>
      <c r="E51" s="77"/>
      <c r="F51" s="216">
        <f>D51*E51</f>
        <v>0</v>
      </c>
      <c r="G51" s="132"/>
      <c r="H51" s="124">
        <f t="shared" si="2"/>
        <v>0</v>
      </c>
    </row>
    <row r="52" spans="2:8" ht="12.75">
      <c r="B52" s="115" t="s">
        <v>175</v>
      </c>
      <c r="C52" s="211"/>
      <c r="D52" s="216"/>
      <c r="E52" s="64"/>
      <c r="F52" s="86">
        <f>+F44+F48+F49+F50+F51</f>
        <v>323.73714</v>
      </c>
      <c r="G52" s="134"/>
      <c r="H52" s="124"/>
    </row>
    <row r="53" spans="2:9" ht="12.75">
      <c r="B53" s="43" t="s">
        <v>327</v>
      </c>
      <c r="C53" s="144"/>
      <c r="D53" s="216">
        <f>D49</f>
        <v>39.14</v>
      </c>
      <c r="E53" s="77">
        <f>Gewichte!C86</f>
        <v>0.28</v>
      </c>
      <c r="F53" s="342">
        <f>D53*E53</f>
        <v>10.959200000000001</v>
      </c>
      <c r="G53" s="132">
        <v>750</v>
      </c>
      <c r="H53" s="124">
        <f t="shared" si="2"/>
        <v>8219.400000000001</v>
      </c>
      <c r="I53" s="2"/>
    </row>
    <row r="54" spans="2:9" ht="12.75">
      <c r="B54" s="43" t="s">
        <v>37</v>
      </c>
      <c r="C54" s="144"/>
      <c r="D54" s="216">
        <f>D49</f>
        <v>39.14</v>
      </c>
      <c r="E54" s="77">
        <f>Gewichte!C87</f>
        <v>0.45</v>
      </c>
      <c r="F54" s="216">
        <f>D54*E54</f>
        <v>17.613</v>
      </c>
      <c r="G54" s="132">
        <v>750</v>
      </c>
      <c r="H54" s="124">
        <f t="shared" si="2"/>
        <v>13209.75</v>
      </c>
      <c r="I54" s="2"/>
    </row>
    <row r="55" spans="2:9" ht="12.75">
      <c r="B55" s="120"/>
      <c r="C55" s="144"/>
      <c r="D55" s="48"/>
      <c r="E55" s="48"/>
      <c r="F55" s="45"/>
      <c r="G55" s="43"/>
      <c r="H55" s="128"/>
      <c r="I55" s="2"/>
    </row>
    <row r="56" spans="2:9" ht="12.75">
      <c r="B56" s="117" t="str">
        <f>B46</f>
        <v>Bespannung &amp; Lackierung</v>
      </c>
      <c r="C56" s="146"/>
      <c r="D56" s="48"/>
      <c r="E56" s="48"/>
      <c r="F56" s="222">
        <f>F48+F49+F50+F51+F53+F54</f>
        <v>71.30934</v>
      </c>
      <c r="G56" s="43"/>
      <c r="H56" s="124">
        <f>SUM(H48:H55)</f>
        <v>47668.005000000005</v>
      </c>
      <c r="I56" s="2"/>
    </row>
    <row r="57" spans="2:9" ht="12.75">
      <c r="B57" s="120"/>
      <c r="C57" s="144"/>
      <c r="D57" s="48"/>
      <c r="E57" s="48"/>
      <c r="F57" s="48"/>
      <c r="G57" s="43"/>
      <c r="H57" s="128"/>
      <c r="I57" s="2"/>
    </row>
    <row r="58" spans="2:9" ht="12.75">
      <c r="B58" s="117" t="s">
        <v>80</v>
      </c>
      <c r="C58" s="146"/>
      <c r="D58" s="49"/>
      <c r="E58" s="48"/>
      <c r="F58" s="86">
        <f>F52+F53+F54</f>
        <v>352.30934</v>
      </c>
      <c r="G58" s="130"/>
      <c r="H58" s="128"/>
      <c r="I58" s="2"/>
    </row>
    <row r="59" spans="2:9" ht="12.75">
      <c r="B59" s="101" t="s">
        <v>54</v>
      </c>
      <c r="C59" s="144"/>
      <c r="D59" s="43"/>
      <c r="E59" s="131"/>
      <c r="F59" s="130"/>
      <c r="G59" s="102">
        <f>H59/F58</f>
        <v>474.7049993054399</v>
      </c>
      <c r="H59" s="124">
        <f>H44+H56</f>
        <v>167243.005</v>
      </c>
      <c r="I59" s="2"/>
    </row>
    <row r="60" spans="2:9" ht="12.75">
      <c r="B60" s="120"/>
      <c r="C60" s="144"/>
      <c r="D60" s="43"/>
      <c r="E60" s="43"/>
      <c r="F60" s="43"/>
      <c r="G60" s="43"/>
      <c r="H60" s="128"/>
      <c r="I60" s="2"/>
    </row>
    <row r="61" spans="2:9" ht="12.75">
      <c r="B61" s="22"/>
      <c r="C61" s="41"/>
      <c r="H61" s="36"/>
      <c r="I61" s="2"/>
    </row>
    <row r="62" spans="2:9" ht="15.75">
      <c r="B62" s="98" t="s">
        <v>219</v>
      </c>
      <c r="C62" s="148"/>
      <c r="D62" s="43"/>
      <c r="E62" s="43"/>
      <c r="F62" s="43"/>
      <c r="G62" s="43"/>
      <c r="H62" s="128"/>
      <c r="I62" s="2"/>
    </row>
    <row r="63" spans="2:9" ht="12.75">
      <c r="B63" s="101" t="s">
        <v>81</v>
      </c>
      <c r="C63" s="349">
        <f>Abmessungen!B67</f>
        <v>1.9</v>
      </c>
      <c r="D63" s="43"/>
      <c r="E63" s="114"/>
      <c r="F63" s="115"/>
      <c r="G63" s="115"/>
      <c r="H63" s="128"/>
      <c r="I63" s="2"/>
    </row>
    <row r="64" spans="2:9" ht="12.75">
      <c r="B64" s="120" t="s">
        <v>65</v>
      </c>
      <c r="C64" s="123" t="s">
        <v>308</v>
      </c>
      <c r="D64" s="43"/>
      <c r="E64" s="114"/>
      <c r="F64" s="115"/>
      <c r="G64" s="115"/>
      <c r="H64" s="128"/>
      <c r="I64" s="2"/>
    </row>
    <row r="65" spans="2:9" ht="12.75">
      <c r="B65" s="117"/>
      <c r="C65" s="146"/>
      <c r="D65" s="115"/>
      <c r="E65" s="115"/>
      <c r="F65" s="115"/>
      <c r="G65" s="115"/>
      <c r="H65" s="128"/>
      <c r="I65" s="2"/>
    </row>
    <row r="66" spans="2:9" ht="38.25">
      <c r="B66" s="120"/>
      <c r="C66" s="144"/>
      <c r="D66" s="117" t="s">
        <v>58</v>
      </c>
      <c r="E66" s="117" t="s">
        <v>41</v>
      </c>
      <c r="F66" s="117" t="s">
        <v>0</v>
      </c>
      <c r="G66" s="118" t="s">
        <v>51</v>
      </c>
      <c r="H66" s="149" t="s">
        <v>2</v>
      </c>
      <c r="I66" s="2"/>
    </row>
    <row r="67" spans="2:9" ht="12.75">
      <c r="B67" s="120"/>
      <c r="C67" s="144"/>
      <c r="D67" s="43"/>
      <c r="E67" s="43"/>
      <c r="F67" s="43"/>
      <c r="G67" s="43"/>
      <c r="H67" s="128"/>
      <c r="I67" s="2"/>
    </row>
    <row r="68" spans="2:9" ht="12.75">
      <c r="B68" s="120" t="s">
        <v>307</v>
      </c>
      <c r="C68" s="144"/>
      <c r="D68" s="132">
        <v>6</v>
      </c>
      <c r="E68" s="75">
        <v>0.2</v>
      </c>
      <c r="F68" s="216">
        <f>D68*E68</f>
        <v>1.2000000000000002</v>
      </c>
      <c r="G68" s="132">
        <v>60</v>
      </c>
      <c r="H68" s="124">
        <f>F68*G68</f>
        <v>72.00000000000001</v>
      </c>
      <c r="I68" s="2"/>
    </row>
    <row r="69" spans="2:9" ht="12.75">
      <c r="B69" s="120" t="s">
        <v>309</v>
      </c>
      <c r="C69" s="144"/>
      <c r="D69" s="132">
        <v>1</v>
      </c>
      <c r="E69" s="75">
        <v>1.5</v>
      </c>
      <c r="F69" s="216">
        <f>D69*E69</f>
        <v>1.5</v>
      </c>
      <c r="G69" s="132">
        <v>115</v>
      </c>
      <c r="H69" s="124">
        <f>F69*G69</f>
        <v>172.5</v>
      </c>
      <c r="I69" s="2"/>
    </row>
    <row r="70" spans="2:9" ht="12.75">
      <c r="B70" s="120" t="s">
        <v>310</v>
      </c>
      <c r="C70" s="144"/>
      <c r="D70" s="132">
        <v>1</v>
      </c>
      <c r="E70" s="75">
        <v>1.5</v>
      </c>
      <c r="F70" s="216">
        <f>D70*E70</f>
        <v>1.5</v>
      </c>
      <c r="G70" s="132">
        <v>4</v>
      </c>
      <c r="H70" s="124">
        <f>F70*G70</f>
        <v>6</v>
      </c>
      <c r="I70" s="2"/>
    </row>
    <row r="71" spans="2:9" ht="12.75">
      <c r="B71" s="120" t="s">
        <v>312</v>
      </c>
      <c r="C71" s="144"/>
      <c r="D71" s="132">
        <v>1</v>
      </c>
      <c r="E71" s="75">
        <v>2</v>
      </c>
      <c r="F71" s="216">
        <f>D71*E71</f>
        <v>2</v>
      </c>
      <c r="G71" s="132">
        <v>140</v>
      </c>
      <c r="H71" s="124">
        <f>F71*G71</f>
        <v>280</v>
      </c>
      <c r="I71" s="2"/>
    </row>
    <row r="72" spans="2:9" ht="12.75">
      <c r="B72" s="120" t="s">
        <v>311</v>
      </c>
      <c r="C72" s="144"/>
      <c r="D72" s="132">
        <v>1</v>
      </c>
      <c r="E72" s="75">
        <v>1</v>
      </c>
      <c r="F72" s="216">
        <f>D72*E72</f>
        <v>1</v>
      </c>
      <c r="G72" s="132">
        <v>45</v>
      </c>
      <c r="H72" s="124">
        <f>F72*G72</f>
        <v>45</v>
      </c>
      <c r="I72" s="2"/>
    </row>
    <row r="73" spans="2:9" ht="12.75">
      <c r="B73" s="120"/>
      <c r="C73" s="144"/>
      <c r="D73" s="43"/>
      <c r="E73" s="43"/>
      <c r="F73" s="45"/>
      <c r="G73" s="43"/>
      <c r="H73" s="128"/>
      <c r="I73" s="2"/>
    </row>
    <row r="74" spans="2:8" ht="12.75">
      <c r="B74" s="117" t="s">
        <v>35</v>
      </c>
      <c r="C74" s="146"/>
      <c r="D74" s="43"/>
      <c r="E74" s="43"/>
      <c r="F74" s="158">
        <f>SUM(F68:F73)</f>
        <v>7.2</v>
      </c>
      <c r="G74" s="43"/>
      <c r="H74" s="124">
        <f>SUM(H68:H73)</f>
        <v>575.5</v>
      </c>
    </row>
    <row r="75" spans="2:8" ht="12.75">
      <c r="B75" s="120" t="s">
        <v>49</v>
      </c>
      <c r="C75" s="144"/>
      <c r="D75" s="43"/>
      <c r="E75" s="43"/>
      <c r="F75" s="75">
        <v>-2</v>
      </c>
      <c r="G75" s="132">
        <v>150</v>
      </c>
      <c r="H75" s="124">
        <f>F75*G75</f>
        <v>-300</v>
      </c>
    </row>
    <row r="76" spans="2:8" ht="12.75">
      <c r="B76" s="120"/>
      <c r="C76" s="144"/>
      <c r="D76" s="43"/>
      <c r="E76" s="43"/>
      <c r="F76" s="76"/>
      <c r="G76" s="134"/>
      <c r="H76" s="124"/>
    </row>
    <row r="77" spans="2:8" ht="12.75">
      <c r="B77" s="117" t="s">
        <v>66</v>
      </c>
      <c r="C77" s="144"/>
      <c r="D77" s="43"/>
      <c r="E77" s="43"/>
      <c r="F77" s="222">
        <f>F74+F75</f>
        <v>5.2</v>
      </c>
      <c r="G77" s="102">
        <f>H77/F77</f>
        <v>52.980769230769226</v>
      </c>
      <c r="H77" s="124">
        <f>H74+H75</f>
        <v>275.5</v>
      </c>
    </row>
    <row r="78" spans="2:8" ht="12.75">
      <c r="B78" s="117"/>
      <c r="C78" s="144"/>
      <c r="D78" s="43"/>
      <c r="E78" s="43"/>
      <c r="F78" s="222"/>
      <c r="G78" s="102"/>
      <c r="H78" s="124"/>
    </row>
    <row r="79" spans="2:8" ht="15.75">
      <c r="B79" s="255"/>
      <c r="C79" s="256"/>
      <c r="D79" s="162"/>
      <c r="E79" s="162"/>
      <c r="F79" s="257"/>
      <c r="G79" s="190"/>
      <c r="H79" s="258"/>
    </row>
    <row r="80" spans="2:8" ht="12.75">
      <c r="B80" s="259"/>
      <c r="C80" s="350"/>
      <c r="D80" s="162"/>
      <c r="E80" s="161"/>
      <c r="F80" s="257"/>
      <c r="G80" s="190"/>
      <c r="H80" s="258"/>
    </row>
    <row r="81" spans="2:8" ht="12.75">
      <c r="B81" s="260"/>
      <c r="C81" s="261"/>
      <c r="D81" s="162"/>
      <c r="E81" s="161"/>
      <c r="F81" s="257"/>
      <c r="G81" s="190"/>
      <c r="H81" s="258"/>
    </row>
    <row r="82" spans="2:8" ht="12.75">
      <c r="B82" s="262"/>
      <c r="C82" s="263"/>
      <c r="D82" s="162"/>
      <c r="E82" s="162"/>
      <c r="F82" s="257"/>
      <c r="G82" s="190"/>
      <c r="H82" s="258"/>
    </row>
    <row r="83" spans="2:8" ht="12.75">
      <c r="B83" s="262"/>
      <c r="C83" s="263"/>
      <c r="D83" s="162"/>
      <c r="E83" s="162"/>
      <c r="F83" s="257"/>
      <c r="G83" s="190"/>
      <c r="H83" s="258"/>
    </row>
    <row r="84" spans="2:8" ht="12.75">
      <c r="B84" s="262"/>
      <c r="C84" s="263"/>
      <c r="D84" s="162"/>
      <c r="E84" s="162"/>
      <c r="F84" s="257"/>
      <c r="G84" s="190"/>
      <c r="H84" s="258"/>
    </row>
    <row r="85" spans="2:8" ht="12.75">
      <c r="B85" s="260"/>
      <c r="C85" s="263"/>
      <c r="D85" s="134"/>
      <c r="E85" s="134"/>
      <c r="F85" s="225"/>
      <c r="G85" s="134"/>
      <c r="H85" s="258"/>
    </row>
    <row r="86" spans="2:8" ht="12.75">
      <c r="B86" s="260"/>
      <c r="C86" s="263"/>
      <c r="D86" s="134"/>
      <c r="E86" s="134"/>
      <c r="F86" s="225"/>
      <c r="G86" s="134"/>
      <c r="H86" s="258"/>
    </row>
    <row r="87" spans="2:8" ht="12.75">
      <c r="B87" s="260"/>
      <c r="C87" s="263"/>
      <c r="D87" s="134"/>
      <c r="E87" s="134"/>
      <c r="F87" s="225"/>
      <c r="G87" s="134"/>
      <c r="H87" s="258"/>
    </row>
    <row r="88" spans="2:8" ht="12.75">
      <c r="B88" s="260"/>
      <c r="C88" s="263"/>
      <c r="D88" s="134"/>
      <c r="E88" s="134"/>
      <c r="F88" s="225"/>
      <c r="G88" s="134"/>
      <c r="H88" s="258"/>
    </row>
    <row r="89" spans="2:8" ht="12.75">
      <c r="B89" s="260"/>
      <c r="C89" s="263"/>
      <c r="D89" s="162"/>
      <c r="E89" s="162"/>
      <c r="F89" s="81"/>
      <c r="G89" s="162"/>
      <c r="H89" s="264"/>
    </row>
    <row r="90" spans="2:8" ht="12.75">
      <c r="B90" s="262"/>
      <c r="C90" s="265"/>
      <c r="D90" s="162"/>
      <c r="E90" s="162"/>
      <c r="F90" s="191"/>
      <c r="G90" s="162"/>
      <c r="H90" s="258"/>
    </row>
    <row r="91" spans="2:8" ht="12.75">
      <c r="B91" s="260"/>
      <c r="C91" s="263"/>
      <c r="D91" s="162"/>
      <c r="E91" s="162"/>
      <c r="F91" s="76"/>
      <c r="G91" s="134"/>
      <c r="H91" s="258"/>
    </row>
    <row r="92" spans="2:8" ht="12.75">
      <c r="B92" s="117" t="str">
        <f>B46</f>
        <v>Bespannung &amp; Lackierung</v>
      </c>
      <c r="C92" s="144"/>
      <c r="D92" s="43"/>
      <c r="E92" s="43"/>
      <c r="F92" s="76"/>
      <c r="G92" s="134"/>
      <c r="H92" s="124"/>
    </row>
    <row r="93" spans="2:8" s="22" customFormat="1" ht="12.75">
      <c r="B93" s="117"/>
      <c r="C93" s="144"/>
      <c r="D93" s="43"/>
      <c r="E93" s="43"/>
      <c r="F93" s="222"/>
      <c r="G93" s="102"/>
      <c r="H93" s="124"/>
    </row>
    <row r="94" spans="2:8" s="22" customFormat="1" ht="12.75">
      <c r="B94" s="117"/>
      <c r="C94" s="146"/>
      <c r="D94" s="126"/>
      <c r="E94" s="126"/>
      <c r="F94" s="115"/>
      <c r="G94" s="118"/>
      <c r="H94" s="119"/>
    </row>
    <row r="95" spans="2:8" ht="12.75">
      <c r="B95" s="43" t="s">
        <v>38</v>
      </c>
      <c r="C95" s="150"/>
      <c r="D95" s="74">
        <v>3.8</v>
      </c>
      <c r="E95" s="77">
        <f>Gewichte!C80</f>
        <v>0.21</v>
      </c>
      <c r="F95" s="216">
        <f>D95*E95</f>
        <v>0.7979999999999999</v>
      </c>
      <c r="G95" s="132">
        <v>65</v>
      </c>
      <c r="H95" s="124">
        <f aca="true" t="shared" si="3" ref="H95:H101">F95*G95</f>
        <v>51.87</v>
      </c>
    </row>
    <row r="96" spans="2:8" ht="12.75">
      <c r="B96" s="43" t="s">
        <v>276</v>
      </c>
      <c r="C96" s="151"/>
      <c r="D96" s="216">
        <f>C63*2</f>
        <v>3.8</v>
      </c>
      <c r="E96" s="77">
        <f>Gewichte!C84</f>
        <v>0.181</v>
      </c>
      <c r="F96" s="216">
        <f>D96*E96</f>
        <v>0.6878</v>
      </c>
      <c r="G96" s="132">
        <v>65</v>
      </c>
      <c r="H96" s="124">
        <f t="shared" si="3"/>
        <v>44.707</v>
      </c>
    </row>
    <row r="97" spans="2:8" ht="12.75">
      <c r="B97" s="43" t="s">
        <v>323</v>
      </c>
      <c r="C97" s="84">
        <v>4</v>
      </c>
      <c r="D97" s="216">
        <f>C63*2</f>
        <v>3.8</v>
      </c>
      <c r="E97" s="77">
        <f>Gewichte!C75</f>
        <v>0.13</v>
      </c>
      <c r="F97" s="216">
        <f>C97*D97*E97</f>
        <v>1.976</v>
      </c>
      <c r="G97" s="132">
        <v>65</v>
      </c>
      <c r="H97" s="124">
        <f t="shared" si="3"/>
        <v>128.44</v>
      </c>
    </row>
    <row r="98" spans="2:8" ht="12.75">
      <c r="B98" s="43"/>
      <c r="C98" s="212"/>
      <c r="D98" s="216"/>
      <c r="E98" s="77"/>
      <c r="F98" s="216">
        <f>D98*E98</f>
        <v>0</v>
      </c>
      <c r="G98" s="132"/>
      <c r="H98" s="124">
        <f>F98*G98</f>
        <v>0</v>
      </c>
    </row>
    <row r="99" spans="2:8" ht="12.75">
      <c r="B99" s="115" t="s">
        <v>176</v>
      </c>
      <c r="C99" s="212"/>
      <c r="D99" s="216"/>
      <c r="E99" s="64"/>
      <c r="F99" s="222">
        <f>F77+F95+F96+F97+F98</f>
        <v>8.6618</v>
      </c>
      <c r="G99" s="134"/>
      <c r="H99" s="124"/>
    </row>
    <row r="100" spans="2:8" ht="12.75">
      <c r="B100" s="43" t="s">
        <v>327</v>
      </c>
      <c r="C100" s="150"/>
      <c r="D100" s="216">
        <f>C63*2</f>
        <v>3.8</v>
      </c>
      <c r="E100" s="77">
        <f>Gewichte!C86</f>
        <v>0.28</v>
      </c>
      <c r="F100" s="342">
        <f>D100*E100</f>
        <v>1.064</v>
      </c>
      <c r="G100" s="132">
        <v>65</v>
      </c>
      <c r="H100" s="124">
        <f t="shared" si="3"/>
        <v>69.16</v>
      </c>
    </row>
    <row r="101" spans="2:8" ht="12.75">
      <c r="B101" s="43" t="s">
        <v>37</v>
      </c>
      <c r="C101" s="150"/>
      <c r="D101" s="216">
        <f>C63*2</f>
        <v>3.8</v>
      </c>
      <c r="E101" s="77">
        <f>Gewichte!C87</f>
        <v>0.45</v>
      </c>
      <c r="F101" s="216">
        <f>D101*E101</f>
        <v>1.71</v>
      </c>
      <c r="G101" s="132">
        <v>65</v>
      </c>
      <c r="H101" s="124">
        <f t="shared" si="3"/>
        <v>111.14999999999999</v>
      </c>
    </row>
    <row r="102" spans="2:8" ht="12.75">
      <c r="B102" s="43"/>
      <c r="C102" s="151"/>
      <c r="D102" s="45"/>
      <c r="E102" s="64"/>
      <c r="F102" s="45"/>
      <c r="G102" s="134"/>
      <c r="H102" s="124"/>
    </row>
    <row r="103" spans="2:8" ht="12.75">
      <c r="B103" s="43"/>
      <c r="C103" s="150"/>
      <c r="D103" s="48"/>
      <c r="E103" s="48"/>
      <c r="F103" s="45"/>
      <c r="G103" s="43"/>
      <c r="H103" s="43"/>
    </row>
    <row r="104" spans="2:8" ht="12.75">
      <c r="B104" s="117"/>
      <c r="C104" s="152"/>
      <c r="D104" s="48"/>
      <c r="E104" s="48"/>
      <c r="F104" s="222">
        <f>F95+F96+F97+F98+F100+F101</f>
        <v>6.2358</v>
      </c>
      <c r="G104" s="86">
        <f>H104/F104</f>
        <v>65</v>
      </c>
      <c r="H104" s="124">
        <f>SUM(H95:H103)</f>
        <v>405.327</v>
      </c>
    </row>
    <row r="105" spans="2:8" ht="12.75">
      <c r="B105" s="117"/>
      <c r="C105" s="146"/>
      <c r="D105" s="43"/>
      <c r="E105" s="114"/>
      <c r="F105" s="133"/>
      <c r="G105" s="43"/>
      <c r="H105" s="43"/>
    </row>
    <row r="106" spans="2:8" ht="12.75">
      <c r="B106" s="117" t="s">
        <v>83</v>
      </c>
      <c r="C106" s="153"/>
      <c r="D106" s="130"/>
      <c r="E106" s="130"/>
      <c r="F106" s="158">
        <f>F99+F101+F100</f>
        <v>11.4358</v>
      </c>
      <c r="G106" s="44"/>
      <c r="H106" s="43"/>
    </row>
    <row r="107" spans="2:8" ht="12.75">
      <c r="B107" s="120" t="s">
        <v>313</v>
      </c>
      <c r="C107" s="154"/>
      <c r="D107" s="130"/>
      <c r="E107" s="130"/>
      <c r="F107" s="44"/>
      <c r="G107" s="102">
        <f>H107/F106</f>
        <v>59.53470679795029</v>
      </c>
      <c r="H107" s="124">
        <f>H77+H104</f>
        <v>680.827</v>
      </c>
    </row>
    <row r="108" spans="2:8" ht="12.75">
      <c r="B108" s="120" t="s">
        <v>54</v>
      </c>
      <c r="C108" s="154"/>
      <c r="D108" s="130"/>
      <c r="E108" s="130"/>
      <c r="F108" s="130"/>
      <c r="G108" s="102">
        <f>Abmessungen!B68-'Rumpf &amp; Seitenruder'!G107</f>
        <v>980.4652932020497</v>
      </c>
      <c r="H108" s="124">
        <f>F106*G108</f>
        <v>11212.405</v>
      </c>
    </row>
    <row r="109" spans="2:8" ht="12.75">
      <c r="B109" s="120"/>
      <c r="C109" s="154"/>
      <c r="D109" s="130"/>
      <c r="E109" s="130"/>
      <c r="F109" s="130"/>
      <c r="G109" s="130"/>
      <c r="H109" s="43"/>
    </row>
    <row r="110" spans="2:7" ht="13.5" thickBot="1">
      <c r="B110" s="22"/>
      <c r="C110" s="97"/>
      <c r="D110" s="34"/>
      <c r="E110" s="34"/>
      <c r="F110" s="34"/>
      <c r="G110" s="34"/>
    </row>
    <row r="111" spans="2:8" ht="15.75">
      <c r="B111" s="105" t="s">
        <v>84</v>
      </c>
      <c r="C111" s="156"/>
      <c r="D111" s="157"/>
      <c r="E111" s="157"/>
      <c r="F111" s="95"/>
      <c r="G111" s="107"/>
      <c r="H111" s="8"/>
    </row>
    <row r="112" spans="2:8" ht="12.75">
      <c r="B112" s="108" t="s">
        <v>0</v>
      </c>
      <c r="C112" s="153"/>
      <c r="D112" s="130"/>
      <c r="E112" s="130"/>
      <c r="F112" s="102">
        <f>F58+F106</f>
        <v>363.74514</v>
      </c>
      <c r="G112" s="109"/>
      <c r="H112" s="8"/>
    </row>
    <row r="113" spans="2:7" ht="12.75">
      <c r="B113" s="108" t="s">
        <v>78</v>
      </c>
      <c r="C113" s="155">
        <f>Abmessungen!B65+Abmessungen!B67</f>
        <v>14.26</v>
      </c>
      <c r="D113" s="130"/>
      <c r="E113" s="130"/>
      <c r="F113" s="104"/>
      <c r="G113" s="109"/>
    </row>
    <row r="114" spans="2:7" ht="12.75">
      <c r="B114" s="108" t="s">
        <v>63</v>
      </c>
      <c r="C114" s="223">
        <f>(C113/6.452)*100</f>
        <v>221.0167389956603</v>
      </c>
      <c r="D114" s="130"/>
      <c r="E114" s="130"/>
      <c r="F114" s="104"/>
      <c r="G114" s="109"/>
    </row>
    <row r="115" spans="2:7" ht="12.75">
      <c r="B115" s="108" t="s">
        <v>64</v>
      </c>
      <c r="C115" s="223">
        <f>F112/C113</f>
        <v>25.50807433380084</v>
      </c>
      <c r="D115" s="130"/>
      <c r="E115" s="130"/>
      <c r="F115" s="104"/>
      <c r="G115" s="109"/>
    </row>
    <row r="116" spans="2:8" ht="13.5" thickBot="1">
      <c r="B116" s="110" t="s">
        <v>54</v>
      </c>
      <c r="C116" s="141"/>
      <c r="D116" s="111"/>
      <c r="E116" s="111"/>
      <c r="F116" s="111"/>
      <c r="G116" s="112">
        <f>(H59+H108)/F112</f>
        <v>490.60562018780513</v>
      </c>
      <c r="H116" s="8"/>
    </row>
    <row r="119" ht="12.75">
      <c r="H119" s="17"/>
    </row>
    <row r="131" ht="12.75">
      <c r="H131" s="17"/>
    </row>
    <row r="139" ht="12.75">
      <c r="H139" s="34"/>
    </row>
    <row r="140" ht="12.75">
      <c r="H140" s="39"/>
    </row>
    <row r="141" ht="12.75">
      <c r="H141" s="34"/>
    </row>
    <row r="142" ht="12.75">
      <c r="H142" s="34"/>
    </row>
    <row r="143" ht="12.75">
      <c r="H143" s="34"/>
    </row>
    <row r="144" ht="12.75">
      <c r="H144" s="34"/>
    </row>
    <row r="145" ht="12.75">
      <c r="H145" s="34"/>
    </row>
    <row r="146" ht="12.75">
      <c r="H146" s="34"/>
    </row>
  </sheetData>
  <mergeCells count="1">
    <mergeCell ref="C8:G8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92"/>
  <sheetViews>
    <sheetView workbookViewId="0" topLeftCell="A1">
      <selection activeCell="I41" sqref="I41"/>
    </sheetView>
  </sheetViews>
  <sheetFormatPr defaultColWidth="11.421875" defaultRowHeight="12.75"/>
  <cols>
    <col min="1" max="1" width="4.00390625" style="0" customWidth="1"/>
    <col min="2" max="2" width="37.421875" style="0" customWidth="1"/>
    <col min="3" max="3" width="12.421875" style="0" customWidth="1"/>
    <col min="4" max="4" width="8.00390625" style="0" customWidth="1"/>
    <col min="5" max="5" width="8.8515625" style="0" customWidth="1"/>
    <col min="6" max="6" width="11.28125" style="0" customWidth="1"/>
    <col min="9" max="9" width="35.28125" style="0" customWidth="1"/>
  </cols>
  <sheetData>
    <row r="2" spans="2:6" ht="12.75">
      <c r="B2" s="44" t="s">
        <v>127</v>
      </c>
      <c r="C2" s="75" t="s">
        <v>140</v>
      </c>
      <c r="F2" s="42"/>
    </row>
    <row r="3" spans="2:3" ht="12.75">
      <c r="B3" s="48" t="s">
        <v>128</v>
      </c>
      <c r="C3" s="77"/>
    </row>
    <row r="4" spans="2:3" ht="12.75">
      <c r="B4" s="43" t="s">
        <v>132</v>
      </c>
      <c r="C4" s="43"/>
    </row>
    <row r="5" spans="2:3" ht="12.75">
      <c r="B5" s="44" t="s">
        <v>145</v>
      </c>
      <c r="C5" s="182"/>
    </row>
    <row r="6" spans="2:3" ht="12.75">
      <c r="B6" s="130" t="s">
        <v>144</v>
      </c>
      <c r="C6" s="179"/>
    </row>
    <row r="7" spans="2:3" ht="12.75">
      <c r="B7" s="195"/>
      <c r="C7" s="159"/>
    </row>
    <row r="8" spans="2:3" ht="13.5" thickBot="1">
      <c r="B8" s="195"/>
      <c r="C8" s="159"/>
    </row>
    <row r="9" spans="2:8" ht="28.5" customHeight="1" thickBot="1">
      <c r="B9" s="113" t="s">
        <v>67</v>
      </c>
      <c r="C9" s="325" t="str">
        <f>Schwerpunktrechnung!D18</f>
        <v>Datum Rückseite Spinner</v>
      </c>
      <c r="D9" s="331"/>
      <c r="E9" s="331"/>
      <c r="F9" s="331"/>
      <c r="G9" s="332"/>
      <c r="H9" s="247"/>
    </row>
    <row r="10" spans="2:8" ht="12.75">
      <c r="B10" s="114" t="s">
        <v>68</v>
      </c>
      <c r="C10" s="226">
        <f>Abmessungen!B16</f>
        <v>5.78</v>
      </c>
      <c r="D10" s="43"/>
      <c r="E10" s="115"/>
      <c r="F10" s="115"/>
      <c r="G10" s="248">
        <f>Schwerpunktrechnung!E2</f>
        <v>40570</v>
      </c>
      <c r="H10" s="199"/>
    </row>
    <row r="11" spans="2:8" ht="12.75">
      <c r="B11" s="114" t="s">
        <v>65</v>
      </c>
      <c r="C11" s="114" t="s">
        <v>236</v>
      </c>
      <c r="D11" s="43"/>
      <c r="E11" s="115"/>
      <c r="F11" s="115"/>
      <c r="G11" s="116"/>
      <c r="H11" s="43"/>
    </row>
    <row r="12" spans="2:8" ht="12.75">
      <c r="B12" s="114"/>
      <c r="C12" s="114"/>
      <c r="D12" s="115"/>
      <c r="E12" s="115"/>
      <c r="F12" s="115"/>
      <c r="G12" s="116"/>
      <c r="H12" s="43"/>
    </row>
    <row r="13" spans="2:8" ht="38.25">
      <c r="B13" s="114" t="s">
        <v>246</v>
      </c>
      <c r="C13" s="114"/>
      <c r="D13" s="117" t="s">
        <v>50</v>
      </c>
      <c r="E13" s="117" t="s">
        <v>41</v>
      </c>
      <c r="F13" s="117" t="s">
        <v>0</v>
      </c>
      <c r="G13" s="118" t="s">
        <v>51</v>
      </c>
      <c r="H13" s="119" t="s">
        <v>2</v>
      </c>
    </row>
    <row r="14" spans="2:8" ht="12.75">
      <c r="B14" s="115"/>
      <c r="C14" s="115"/>
      <c r="D14" s="115"/>
      <c r="E14" s="115"/>
      <c r="F14" s="115"/>
      <c r="G14" s="116"/>
      <c r="H14" s="43"/>
    </row>
    <row r="15" spans="2:8" ht="12.75">
      <c r="B15" s="120" t="s">
        <v>238</v>
      </c>
      <c r="C15" s="120"/>
      <c r="D15" s="73">
        <v>1</v>
      </c>
      <c r="E15" s="74">
        <v>5.5</v>
      </c>
      <c r="F15" s="185">
        <f>D15*E15</f>
        <v>5.5</v>
      </c>
      <c r="G15" s="73">
        <v>58</v>
      </c>
      <c r="H15" s="124">
        <f>F15*G15</f>
        <v>319</v>
      </c>
    </row>
    <row r="16" spans="2:8" ht="12.75">
      <c r="B16" s="120" t="s">
        <v>240</v>
      </c>
      <c r="C16" s="120"/>
      <c r="D16" s="121">
        <v>1</v>
      </c>
      <c r="E16" s="74">
        <v>5.5</v>
      </c>
      <c r="F16" s="185">
        <f>D16*E16</f>
        <v>5.5</v>
      </c>
      <c r="G16" s="73">
        <v>90</v>
      </c>
      <c r="H16" s="124">
        <f aca="true" t="shared" si="0" ref="H16:H24">F16*G16</f>
        <v>495</v>
      </c>
    </row>
    <row r="17" spans="2:8" ht="12.75">
      <c r="B17" s="120" t="s">
        <v>156</v>
      </c>
      <c r="C17" s="120"/>
      <c r="D17" s="121">
        <v>2</v>
      </c>
      <c r="E17" s="74">
        <v>3.5</v>
      </c>
      <c r="F17" s="185">
        <f aca="true" t="shared" si="1" ref="F17:F24">D17*E17</f>
        <v>7</v>
      </c>
      <c r="G17" s="73">
        <v>15</v>
      </c>
      <c r="H17" s="124">
        <f t="shared" si="0"/>
        <v>105</v>
      </c>
    </row>
    <row r="18" spans="2:8" ht="12.75">
      <c r="B18" s="120" t="s">
        <v>69</v>
      </c>
      <c r="C18" s="120"/>
      <c r="D18" s="121">
        <v>2</v>
      </c>
      <c r="E18" s="74">
        <v>2.5</v>
      </c>
      <c r="F18" s="185">
        <f t="shared" si="1"/>
        <v>5</v>
      </c>
      <c r="G18" s="73">
        <v>60</v>
      </c>
      <c r="H18" s="124">
        <f t="shared" si="0"/>
        <v>300</v>
      </c>
    </row>
    <row r="19" spans="2:8" ht="12.75">
      <c r="B19" s="120" t="s">
        <v>157</v>
      </c>
      <c r="C19" s="120"/>
      <c r="D19" s="121">
        <v>1</v>
      </c>
      <c r="E19" s="74">
        <v>9</v>
      </c>
      <c r="F19" s="185">
        <f t="shared" si="1"/>
        <v>9</v>
      </c>
      <c r="G19" s="73">
        <v>50</v>
      </c>
      <c r="H19" s="124">
        <f t="shared" si="0"/>
        <v>450</v>
      </c>
    </row>
    <row r="20" spans="2:8" ht="12.75">
      <c r="B20" s="120"/>
      <c r="C20" s="120"/>
      <c r="D20" s="121"/>
      <c r="E20" s="74"/>
      <c r="F20" s="185">
        <f t="shared" si="1"/>
        <v>0</v>
      </c>
      <c r="G20" s="121"/>
      <c r="H20" s="124">
        <f t="shared" si="0"/>
        <v>0</v>
      </c>
    </row>
    <row r="21" spans="2:8" ht="12.75">
      <c r="B21" s="120" t="s">
        <v>70</v>
      </c>
      <c r="C21" s="120"/>
      <c r="D21" s="121">
        <v>1</v>
      </c>
      <c r="E21" s="74">
        <v>2</v>
      </c>
      <c r="F21" s="185">
        <f t="shared" si="1"/>
        <v>2</v>
      </c>
      <c r="G21" s="121">
        <v>150</v>
      </c>
      <c r="H21" s="124">
        <f t="shared" si="0"/>
        <v>300</v>
      </c>
    </row>
    <row r="22" spans="2:8" ht="12.75">
      <c r="B22" s="120" t="s">
        <v>220</v>
      </c>
      <c r="C22" s="120"/>
      <c r="D22" s="121">
        <v>1</v>
      </c>
      <c r="E22" s="74">
        <v>20</v>
      </c>
      <c r="F22" s="185">
        <f t="shared" si="1"/>
        <v>20</v>
      </c>
      <c r="G22" s="73">
        <v>100</v>
      </c>
      <c r="H22" s="124">
        <f t="shared" si="0"/>
        <v>2000</v>
      </c>
    </row>
    <row r="23" spans="2:8" ht="12.75">
      <c r="B23" s="120" t="s">
        <v>48</v>
      </c>
      <c r="C23" s="120"/>
      <c r="D23" s="121">
        <v>6</v>
      </c>
      <c r="E23" s="74">
        <v>1.7</v>
      </c>
      <c r="F23" s="185">
        <f t="shared" si="1"/>
        <v>10.2</v>
      </c>
      <c r="G23" s="73">
        <v>96</v>
      </c>
      <c r="H23" s="124">
        <f t="shared" si="0"/>
        <v>979.1999999999999</v>
      </c>
    </row>
    <row r="24" spans="2:8" ht="13.5" thickBot="1">
      <c r="B24" s="120" t="s">
        <v>243</v>
      </c>
      <c r="C24" s="120"/>
      <c r="D24" s="121">
        <v>1</v>
      </c>
      <c r="E24" s="74">
        <v>8</v>
      </c>
      <c r="F24" s="227">
        <f t="shared" si="1"/>
        <v>8</v>
      </c>
      <c r="G24" s="121">
        <v>55</v>
      </c>
      <c r="H24" s="138">
        <f t="shared" si="0"/>
        <v>440</v>
      </c>
    </row>
    <row r="25" spans="2:8" ht="12.75">
      <c r="B25" s="120"/>
      <c r="C25" s="120"/>
      <c r="D25" s="43"/>
      <c r="E25" s="114"/>
      <c r="F25" s="136"/>
      <c r="G25" s="43"/>
      <c r="H25" s="137"/>
    </row>
    <row r="26" spans="2:8" ht="12.75">
      <c r="B26" s="117" t="s">
        <v>35</v>
      </c>
      <c r="C26" s="117"/>
      <c r="D26" s="115"/>
      <c r="E26" s="114"/>
      <c r="F26" s="348">
        <f>SUM(F15:F25)</f>
        <v>72.2</v>
      </c>
      <c r="G26" s="125"/>
      <c r="H26" s="124">
        <f>SUM(H15:H25)</f>
        <v>5388.2</v>
      </c>
    </row>
    <row r="27" spans="2:8" ht="13.5" thickBot="1">
      <c r="B27" s="120" t="s">
        <v>160</v>
      </c>
      <c r="C27" s="120"/>
      <c r="D27" s="43"/>
      <c r="E27" s="114"/>
      <c r="F27" s="281">
        <v>-9</v>
      </c>
      <c r="G27" s="121">
        <v>48</v>
      </c>
      <c r="H27" s="111">
        <f>G27*F27</f>
        <v>-432</v>
      </c>
    </row>
    <row r="28" spans="2:8" ht="12.75">
      <c r="B28" s="120"/>
      <c r="C28" s="120"/>
      <c r="D28" s="43"/>
      <c r="E28" s="114"/>
      <c r="F28" s="139"/>
      <c r="G28" s="125"/>
      <c r="H28" s="137"/>
    </row>
    <row r="29" spans="2:8" ht="12.75">
      <c r="B29" s="117" t="s">
        <v>66</v>
      </c>
      <c r="C29" s="117"/>
      <c r="D29" s="43"/>
      <c r="E29" s="114"/>
      <c r="F29" s="348">
        <f>F26+F27</f>
        <v>63.2</v>
      </c>
      <c r="G29" s="102">
        <f>H29/F29</f>
        <v>78.42088607594935</v>
      </c>
      <c r="H29" s="124">
        <f>SUM(H26:H27)</f>
        <v>4956.2</v>
      </c>
    </row>
    <row r="30" spans="2:8" ht="12.75">
      <c r="B30" s="120"/>
      <c r="C30" s="120"/>
      <c r="D30" s="43"/>
      <c r="E30" s="43"/>
      <c r="F30" s="115"/>
      <c r="G30" s="43"/>
      <c r="H30" s="43"/>
    </row>
    <row r="31" spans="2:8" ht="25.5">
      <c r="B31" s="117" t="s">
        <v>36</v>
      </c>
      <c r="C31" s="117" t="s">
        <v>52</v>
      </c>
      <c r="D31" s="126" t="s">
        <v>4</v>
      </c>
      <c r="E31" s="126" t="s">
        <v>3</v>
      </c>
      <c r="F31" s="115" t="s">
        <v>0</v>
      </c>
      <c r="G31" s="118" t="s">
        <v>51</v>
      </c>
      <c r="H31" s="119" t="s">
        <v>2</v>
      </c>
    </row>
    <row r="32" spans="2:8" ht="12.75">
      <c r="B32" s="117"/>
      <c r="C32" s="283"/>
      <c r="D32" s="126"/>
      <c r="E32" s="126"/>
      <c r="F32" s="115"/>
      <c r="G32" s="118"/>
      <c r="H32" s="119"/>
    </row>
    <row r="33" spans="2:8" ht="12.75">
      <c r="B33" s="101" t="s">
        <v>264</v>
      </c>
      <c r="C33" s="344">
        <v>2</v>
      </c>
      <c r="D33" s="126"/>
      <c r="E33" s="126"/>
      <c r="F33" s="75">
        <v>2</v>
      </c>
      <c r="G33" s="345">
        <v>53</v>
      </c>
      <c r="H33" s="275">
        <f>F33*G33</f>
        <v>106</v>
      </c>
    </row>
    <row r="34" spans="2:8" ht="12.75">
      <c r="B34" s="120" t="s">
        <v>38</v>
      </c>
      <c r="C34" s="120"/>
      <c r="D34" s="74">
        <v>9</v>
      </c>
      <c r="E34" s="127">
        <f>Gewichte!C80</f>
        <v>0.21</v>
      </c>
      <c r="F34" s="185">
        <f>D34*E34</f>
        <v>1.89</v>
      </c>
      <c r="G34" s="345">
        <v>53</v>
      </c>
      <c r="H34" s="124">
        <f>F34*G34</f>
        <v>100.17</v>
      </c>
    </row>
    <row r="35" spans="2:8" ht="12.75">
      <c r="B35" s="120" t="s">
        <v>267</v>
      </c>
      <c r="C35" s="120"/>
      <c r="D35" s="216">
        <f>C10*2</f>
        <v>11.56</v>
      </c>
      <c r="E35" s="127">
        <f>Gewichte!C84</f>
        <v>0.181</v>
      </c>
      <c r="F35" s="185">
        <f>D35*E35</f>
        <v>2.09236</v>
      </c>
      <c r="G35" s="73">
        <v>53</v>
      </c>
      <c r="H35" s="124">
        <f aca="true" t="shared" si="2" ref="H35:H40">F35*G35</f>
        <v>110.89508000000001</v>
      </c>
    </row>
    <row r="36" spans="2:8" ht="12.75">
      <c r="B36" s="120" t="s">
        <v>324</v>
      </c>
      <c r="C36" s="129">
        <v>4</v>
      </c>
      <c r="D36" s="216">
        <f>D35</f>
        <v>11.56</v>
      </c>
      <c r="E36" s="127">
        <f>Gewichte!C75</f>
        <v>0.13</v>
      </c>
      <c r="F36" s="185">
        <f>C36*D36*E36</f>
        <v>6.0112000000000005</v>
      </c>
      <c r="G36" s="73">
        <v>53</v>
      </c>
      <c r="H36" s="124">
        <f t="shared" si="2"/>
        <v>318.59360000000004</v>
      </c>
    </row>
    <row r="37" spans="2:8" ht="12.75">
      <c r="B37" s="120"/>
      <c r="C37" s="210"/>
      <c r="D37" s="216"/>
      <c r="E37" s="127"/>
      <c r="F37" s="185">
        <f>D37*E37</f>
        <v>0</v>
      </c>
      <c r="G37" s="274"/>
      <c r="H37" s="124">
        <f>F37*G37</f>
        <v>0</v>
      </c>
    </row>
    <row r="38" spans="2:8" ht="12.75">
      <c r="B38" s="117" t="s">
        <v>177</v>
      </c>
      <c r="C38" s="210"/>
      <c r="D38" s="225"/>
      <c r="E38" s="161"/>
      <c r="F38" s="346">
        <f>F29+F34+F35+F36+F37</f>
        <v>73.19356</v>
      </c>
      <c r="G38" s="218">
        <f>(H34+H35+H36+H37)/(F34+F35+F36+F37)</f>
        <v>53</v>
      </c>
      <c r="H38" s="124"/>
    </row>
    <row r="39" spans="2:8" ht="12.75">
      <c r="B39" s="120" t="s">
        <v>327</v>
      </c>
      <c r="C39" s="120"/>
      <c r="D39" s="216">
        <f>D35</f>
        <v>11.56</v>
      </c>
      <c r="E39" s="127">
        <f>Gewichte!C86</f>
        <v>0.28</v>
      </c>
      <c r="F39" s="347">
        <f>D39*E39</f>
        <v>3.2368000000000006</v>
      </c>
      <c r="G39" s="73">
        <v>77</v>
      </c>
      <c r="H39" s="124">
        <f t="shared" si="2"/>
        <v>249.23360000000005</v>
      </c>
    </row>
    <row r="40" spans="2:8" ht="13.5" thickBot="1">
      <c r="B40" s="120" t="s">
        <v>37</v>
      </c>
      <c r="C40" s="120"/>
      <c r="D40" s="216">
        <f>D35</f>
        <v>11.56</v>
      </c>
      <c r="E40" s="127">
        <f>Gewichte!C87</f>
        <v>0.45</v>
      </c>
      <c r="F40" s="227">
        <f>D40*E40</f>
        <v>5.202</v>
      </c>
      <c r="G40" s="73">
        <v>77</v>
      </c>
      <c r="H40" s="138">
        <f t="shared" si="2"/>
        <v>400.554</v>
      </c>
    </row>
    <row r="41" spans="2:8" ht="12.75">
      <c r="B41" s="120"/>
      <c r="C41" s="120"/>
      <c r="D41" s="43"/>
      <c r="E41" s="114"/>
      <c r="F41" s="136"/>
      <c r="G41" s="43"/>
      <c r="H41" s="137"/>
    </row>
    <row r="42" spans="2:8" ht="12.75">
      <c r="B42" s="117" t="str">
        <f>B31</f>
        <v>Bespannung &amp; Lackierung</v>
      </c>
      <c r="C42" s="117"/>
      <c r="D42" s="43"/>
      <c r="E42" s="114"/>
      <c r="F42" s="158">
        <f>F34+F35+F36+F37+F39+F40</f>
        <v>18.432360000000003</v>
      </c>
      <c r="G42" s="124">
        <f>H42/F42</f>
        <v>69.73856196385053</v>
      </c>
      <c r="H42" s="124">
        <f>SUM(H33:H41)</f>
        <v>1285.4462800000001</v>
      </c>
    </row>
    <row r="43" spans="2:8" ht="12.75">
      <c r="B43" s="120"/>
      <c r="C43" s="120"/>
      <c r="D43" s="43"/>
      <c r="E43" s="114"/>
      <c r="F43" s="114"/>
      <c r="G43" s="43"/>
      <c r="H43" s="43"/>
    </row>
    <row r="44" spans="2:8" ht="12.75">
      <c r="B44" s="117" t="s">
        <v>178</v>
      </c>
      <c r="C44" s="117"/>
      <c r="D44" s="115"/>
      <c r="E44" s="114"/>
      <c r="F44" s="102">
        <f>F38+F39+F40</f>
        <v>81.63236</v>
      </c>
      <c r="G44" s="130"/>
      <c r="H44" s="43"/>
    </row>
    <row r="45" spans="2:8" ht="12.75">
      <c r="B45" s="101" t="s">
        <v>237</v>
      </c>
      <c r="C45" s="117"/>
      <c r="D45" s="115"/>
      <c r="E45" s="114"/>
      <c r="F45" s="104"/>
      <c r="G45" s="102">
        <f>(H29+H42)/F44</f>
        <v>76.4604414229847</v>
      </c>
      <c r="H45" s="43"/>
    </row>
    <row r="46" spans="2:8" ht="12.75">
      <c r="B46" s="101" t="s">
        <v>54</v>
      </c>
      <c r="C46" s="120"/>
      <c r="D46" s="43"/>
      <c r="E46" s="131"/>
      <c r="F46" s="130"/>
      <c r="G46" s="102">
        <f>Abmessungen!B21+Abmessungen!B36+Abmessungen!B22-Abmessungen!B54+Höhenleitwerk!G45</f>
        <v>963.4604414229847</v>
      </c>
      <c r="H46" s="124">
        <f>F44*G46</f>
        <v>78649.5496</v>
      </c>
    </row>
    <row r="47" spans="2:8" ht="12.75">
      <c r="B47" s="120"/>
      <c r="C47" s="120"/>
      <c r="D47" s="43"/>
      <c r="E47" s="43"/>
      <c r="F47" s="43"/>
      <c r="G47" s="43"/>
      <c r="H47" s="43"/>
    </row>
    <row r="48" spans="2:8" ht="13.5" thickBot="1">
      <c r="B48" s="120"/>
      <c r="C48" s="120"/>
      <c r="D48" s="43"/>
      <c r="E48" s="43"/>
      <c r="F48" s="43"/>
      <c r="G48" s="43"/>
      <c r="H48" s="202"/>
    </row>
    <row r="49" spans="2:8" ht="27" thickBot="1">
      <c r="B49" s="98" t="s">
        <v>241</v>
      </c>
      <c r="C49" s="169" t="s">
        <v>326</v>
      </c>
      <c r="D49" s="43"/>
      <c r="E49" s="43"/>
      <c r="F49" s="43"/>
      <c r="G49" s="198"/>
      <c r="H49" s="247"/>
    </row>
    <row r="50" spans="2:8" ht="12.75">
      <c r="B50" s="101" t="s">
        <v>56</v>
      </c>
      <c r="C50" s="184">
        <f>Abmessungen!B17</f>
        <v>4.3500000000000005</v>
      </c>
      <c r="D50" s="43"/>
      <c r="E50" s="114"/>
      <c r="F50" s="115"/>
      <c r="G50" s="249">
        <f>Schwerpunktrechnung!E2</f>
        <v>40570</v>
      </c>
      <c r="H50" s="137"/>
    </row>
    <row r="51" spans="2:8" ht="12.75">
      <c r="B51" s="120" t="s">
        <v>65</v>
      </c>
      <c r="C51" s="114" t="s">
        <v>57</v>
      </c>
      <c r="D51" s="43"/>
      <c r="E51" s="114"/>
      <c r="F51" s="115"/>
      <c r="G51" s="115"/>
      <c r="H51" s="43"/>
    </row>
    <row r="52" spans="2:8" ht="12.75">
      <c r="B52" s="117"/>
      <c r="C52" s="117"/>
      <c r="D52" s="115"/>
      <c r="E52" s="115"/>
      <c r="F52" s="115"/>
      <c r="G52" s="115"/>
      <c r="H52" s="43"/>
    </row>
    <row r="53" spans="2:8" ht="38.25">
      <c r="B53" s="120" t="s">
        <v>246</v>
      </c>
      <c r="C53" s="120"/>
      <c r="D53" s="117" t="s">
        <v>58</v>
      </c>
      <c r="E53" s="117" t="s">
        <v>41</v>
      </c>
      <c r="F53" s="117" t="s">
        <v>0</v>
      </c>
      <c r="G53" s="118" t="s">
        <v>51</v>
      </c>
      <c r="H53" s="119" t="s">
        <v>2</v>
      </c>
    </row>
    <row r="54" spans="2:8" ht="12.75">
      <c r="B54" s="120"/>
      <c r="C54" s="120"/>
      <c r="D54" s="43"/>
      <c r="E54" s="43"/>
      <c r="F54" s="43"/>
      <c r="G54" s="43"/>
      <c r="H54" s="43"/>
    </row>
    <row r="55" spans="2:11" ht="12.75">
      <c r="B55" s="43" t="s">
        <v>239</v>
      </c>
      <c r="C55" s="120"/>
      <c r="D55" s="75">
        <v>1</v>
      </c>
      <c r="E55" s="75">
        <v>2</v>
      </c>
      <c r="F55" s="216">
        <f aca="true" t="shared" si="3" ref="F55:F61">D55*E55</f>
        <v>2</v>
      </c>
      <c r="G55" s="75">
        <v>30</v>
      </c>
      <c r="H55" s="124">
        <f aca="true" t="shared" si="4" ref="H55:H61">F55*G55</f>
        <v>60</v>
      </c>
      <c r="J55" s="2"/>
      <c r="K55" s="33"/>
    </row>
    <row r="56" spans="2:11" ht="12.75">
      <c r="B56" s="43" t="s">
        <v>242</v>
      </c>
      <c r="C56" s="120"/>
      <c r="D56" s="132">
        <v>2</v>
      </c>
      <c r="E56" s="75">
        <v>3.5</v>
      </c>
      <c r="F56" s="216">
        <f t="shared" si="3"/>
        <v>7</v>
      </c>
      <c r="G56" s="75">
        <v>15</v>
      </c>
      <c r="H56" s="124">
        <f t="shared" si="4"/>
        <v>105</v>
      </c>
      <c r="J56" s="2"/>
      <c r="K56" s="33"/>
    </row>
    <row r="57" spans="2:11" ht="12.75">
      <c r="B57" s="43" t="s">
        <v>42</v>
      </c>
      <c r="C57" s="120"/>
      <c r="D57" s="132">
        <v>2</v>
      </c>
      <c r="E57" s="75">
        <v>1.5</v>
      </c>
      <c r="F57" s="216">
        <f t="shared" si="3"/>
        <v>3</v>
      </c>
      <c r="G57" s="75">
        <v>65</v>
      </c>
      <c r="H57" s="124">
        <f t="shared" si="4"/>
        <v>195</v>
      </c>
      <c r="J57" s="2"/>
      <c r="K57" s="33"/>
    </row>
    <row r="58" spans="2:11" ht="12.75">
      <c r="B58" s="43" t="s">
        <v>157</v>
      </c>
      <c r="C58" s="120"/>
      <c r="D58" s="132">
        <v>2</v>
      </c>
      <c r="E58" s="75">
        <v>2.5</v>
      </c>
      <c r="F58" s="216">
        <f t="shared" si="3"/>
        <v>5</v>
      </c>
      <c r="G58" s="75">
        <v>40</v>
      </c>
      <c r="H58" s="124">
        <f t="shared" si="4"/>
        <v>200</v>
      </c>
      <c r="J58" s="2"/>
      <c r="K58" s="33"/>
    </row>
    <row r="59" spans="2:11" ht="12.75">
      <c r="B59" s="43" t="s">
        <v>69</v>
      </c>
      <c r="C59" s="120"/>
      <c r="D59" s="132">
        <v>2</v>
      </c>
      <c r="E59" s="75">
        <v>1.5</v>
      </c>
      <c r="F59" s="216">
        <f t="shared" si="3"/>
        <v>3</v>
      </c>
      <c r="G59" s="75">
        <v>35</v>
      </c>
      <c r="H59" s="124">
        <f t="shared" si="4"/>
        <v>105</v>
      </c>
      <c r="J59" s="2"/>
      <c r="K59" s="33"/>
    </row>
    <row r="60" spans="2:11" ht="12.75">
      <c r="B60" s="43" t="s">
        <v>243</v>
      </c>
      <c r="C60" s="120"/>
      <c r="D60" s="132">
        <v>1</v>
      </c>
      <c r="E60" s="75">
        <v>4</v>
      </c>
      <c r="F60" s="216">
        <f t="shared" si="3"/>
        <v>4</v>
      </c>
      <c r="G60" s="75">
        <v>35</v>
      </c>
      <c r="H60" s="124">
        <f t="shared" si="4"/>
        <v>140</v>
      </c>
      <c r="J60" s="2"/>
      <c r="K60" s="33"/>
    </row>
    <row r="61" spans="2:11" ht="13.5" thickBot="1">
      <c r="B61" s="43" t="s">
        <v>71</v>
      </c>
      <c r="C61" s="120"/>
      <c r="D61" s="132">
        <v>2</v>
      </c>
      <c r="E61" s="75">
        <v>2.2</v>
      </c>
      <c r="F61" s="228">
        <f t="shared" si="3"/>
        <v>4.4</v>
      </c>
      <c r="G61" s="75">
        <v>35</v>
      </c>
      <c r="H61" s="138">
        <f t="shared" si="4"/>
        <v>154</v>
      </c>
      <c r="J61" s="2"/>
      <c r="K61" s="33"/>
    </row>
    <row r="62" spans="2:8" ht="12.75">
      <c r="B62" s="43"/>
      <c r="C62" s="120"/>
      <c r="D62" s="43"/>
      <c r="E62" s="43"/>
      <c r="F62" s="140"/>
      <c r="G62" s="130"/>
      <c r="H62" s="142"/>
    </row>
    <row r="63" spans="2:11" ht="12.75">
      <c r="B63" s="117" t="s">
        <v>35</v>
      </c>
      <c r="C63" s="117"/>
      <c r="D63" s="43"/>
      <c r="E63" s="43"/>
      <c r="F63" s="346">
        <f>SUM(F55:F61)</f>
        <v>28.4</v>
      </c>
      <c r="G63" s="130"/>
      <c r="H63" s="124">
        <f>SUM(H55:H62)</f>
        <v>959</v>
      </c>
      <c r="K63" s="36"/>
    </row>
    <row r="64" spans="2:8" ht="13.5" thickBot="1">
      <c r="B64" s="120" t="s">
        <v>160</v>
      </c>
      <c r="C64" s="120"/>
      <c r="D64" s="43"/>
      <c r="E64" s="43"/>
      <c r="F64" s="143">
        <v>-5</v>
      </c>
      <c r="G64" s="75">
        <v>35</v>
      </c>
      <c r="H64" s="138">
        <f>F64*G64</f>
        <v>-175</v>
      </c>
    </row>
    <row r="65" spans="2:8" ht="12.75">
      <c r="B65" s="120"/>
      <c r="C65" s="120"/>
      <c r="D65" s="43"/>
      <c r="E65" s="43"/>
      <c r="F65" s="137"/>
      <c r="G65" s="134"/>
      <c r="H65" s="142"/>
    </row>
    <row r="66" spans="2:8" ht="12.75">
      <c r="B66" s="117" t="s">
        <v>66</v>
      </c>
      <c r="C66" s="120"/>
      <c r="D66" s="43"/>
      <c r="E66" s="43"/>
      <c r="F66" s="280">
        <f>F63+F64</f>
        <v>23.4</v>
      </c>
      <c r="G66" s="43"/>
      <c r="H66" s="124">
        <f>H63+H64</f>
        <v>784</v>
      </c>
    </row>
    <row r="67" spans="2:8" ht="12.75">
      <c r="B67" s="120" t="s">
        <v>133</v>
      </c>
      <c r="C67" s="120"/>
      <c r="D67" s="43"/>
      <c r="E67" s="43"/>
      <c r="F67" s="43"/>
      <c r="G67" s="102">
        <f>H66/F66</f>
        <v>33.504273504273506</v>
      </c>
      <c r="H67" s="43"/>
    </row>
    <row r="68" spans="2:8" ht="12.75">
      <c r="B68" s="120"/>
      <c r="C68" s="120"/>
      <c r="D68" s="43"/>
      <c r="E68" s="43"/>
      <c r="F68" s="43"/>
      <c r="G68" s="43"/>
      <c r="H68" s="43"/>
    </row>
    <row r="69" spans="2:8" ht="25.5">
      <c r="B69" s="117" t="s">
        <v>36</v>
      </c>
      <c r="C69" s="117" t="s">
        <v>52</v>
      </c>
      <c r="D69" s="126" t="s">
        <v>4</v>
      </c>
      <c r="E69" s="126" t="s">
        <v>3</v>
      </c>
      <c r="F69" s="115" t="s">
        <v>0</v>
      </c>
      <c r="G69" s="118" t="s">
        <v>51</v>
      </c>
      <c r="H69" s="119" t="s">
        <v>2</v>
      </c>
    </row>
    <row r="70" spans="2:8" ht="12.75">
      <c r="B70" s="117"/>
      <c r="C70" s="117"/>
      <c r="D70" s="126"/>
      <c r="E70" s="126"/>
      <c r="F70" s="115"/>
      <c r="G70" s="118"/>
      <c r="H70" s="119"/>
    </row>
    <row r="71" spans="2:8" ht="12.75">
      <c r="B71" s="101" t="s">
        <v>264</v>
      </c>
      <c r="C71" s="344">
        <v>2</v>
      </c>
      <c r="D71" s="126"/>
      <c r="E71" s="126"/>
      <c r="F71" s="75">
        <v>2</v>
      </c>
      <c r="G71" s="345">
        <v>32</v>
      </c>
      <c r="H71" s="275">
        <f>F71*G71</f>
        <v>64</v>
      </c>
    </row>
    <row r="72" spans="2:8" ht="12.75">
      <c r="B72" s="120" t="s">
        <v>38</v>
      </c>
      <c r="C72" s="120"/>
      <c r="D72" s="74">
        <v>7</v>
      </c>
      <c r="E72" s="127">
        <f>Gewichte!C80</f>
        <v>0.21</v>
      </c>
      <c r="F72" s="185">
        <f>D72*E72</f>
        <v>1.47</v>
      </c>
      <c r="G72" s="75">
        <v>32</v>
      </c>
      <c r="H72" s="124">
        <f aca="true" t="shared" si="5" ref="H72:H78">F72*G72</f>
        <v>47.04</v>
      </c>
    </row>
    <row r="73" spans="2:8" ht="12.75">
      <c r="B73" s="120" t="s">
        <v>268</v>
      </c>
      <c r="C73" s="43"/>
      <c r="D73" s="216">
        <f>C50*2</f>
        <v>8.700000000000001</v>
      </c>
      <c r="E73" s="127">
        <f>Gewichte!C84</f>
        <v>0.181</v>
      </c>
      <c r="F73" s="185">
        <f>D73*E73</f>
        <v>1.5747000000000002</v>
      </c>
      <c r="G73" s="132">
        <v>35</v>
      </c>
      <c r="H73" s="124">
        <f t="shared" si="5"/>
        <v>55.11450000000001</v>
      </c>
    </row>
    <row r="74" spans="2:8" ht="12.75">
      <c r="B74" s="120" t="s">
        <v>323</v>
      </c>
      <c r="C74" s="129">
        <v>4</v>
      </c>
      <c r="D74" s="216">
        <f>D73</f>
        <v>8.700000000000001</v>
      </c>
      <c r="E74" s="127">
        <f>Gewichte!C75</f>
        <v>0.13</v>
      </c>
      <c r="F74" s="185">
        <f>C74*D74*E74</f>
        <v>4.524000000000001</v>
      </c>
      <c r="G74" s="132">
        <v>35</v>
      </c>
      <c r="H74" s="124">
        <f t="shared" si="5"/>
        <v>158.34000000000003</v>
      </c>
    </row>
    <row r="75" spans="2:8" ht="12.75">
      <c r="B75" s="120"/>
      <c r="C75" s="210"/>
      <c r="D75" s="216"/>
      <c r="E75" s="127"/>
      <c r="F75" s="185">
        <f>D75*E75</f>
        <v>0</v>
      </c>
      <c r="G75" s="132"/>
      <c r="H75" s="124">
        <f t="shared" si="5"/>
        <v>0</v>
      </c>
    </row>
    <row r="76" spans="2:8" ht="12.75">
      <c r="B76" s="117" t="s">
        <v>179</v>
      </c>
      <c r="C76" s="210"/>
      <c r="D76" s="225"/>
      <c r="E76" s="161"/>
      <c r="F76" s="346">
        <f>F66+F72+F73+F74+F75</f>
        <v>30.9687</v>
      </c>
      <c r="G76" s="134"/>
      <c r="H76" s="124"/>
    </row>
    <row r="77" spans="2:8" ht="12.75">
      <c r="B77" s="120" t="s">
        <v>327</v>
      </c>
      <c r="C77" s="120"/>
      <c r="D77" s="216">
        <f>D73</f>
        <v>8.700000000000001</v>
      </c>
      <c r="E77" s="127">
        <f>Gewichte!C86</f>
        <v>0.28</v>
      </c>
      <c r="F77" s="347">
        <f>D77*E77</f>
        <v>2.4360000000000004</v>
      </c>
      <c r="G77" s="132">
        <v>35</v>
      </c>
      <c r="H77" s="124">
        <f t="shared" si="5"/>
        <v>85.26000000000002</v>
      </c>
    </row>
    <row r="78" spans="2:8" ht="13.5" thickBot="1">
      <c r="B78" s="120" t="s">
        <v>37</v>
      </c>
      <c r="C78" s="120"/>
      <c r="D78" s="216">
        <f>D73</f>
        <v>8.700000000000001</v>
      </c>
      <c r="E78" s="127">
        <f>Gewichte!C87</f>
        <v>0.45</v>
      </c>
      <c r="F78" s="227">
        <f>D78*E78</f>
        <v>3.9150000000000005</v>
      </c>
      <c r="G78" s="132">
        <v>35</v>
      </c>
      <c r="H78" s="138">
        <f t="shared" si="5"/>
        <v>137.025</v>
      </c>
    </row>
    <row r="79" spans="2:8" ht="12.75">
      <c r="B79" s="120"/>
      <c r="C79" s="120"/>
      <c r="D79" s="43"/>
      <c r="E79" s="114"/>
      <c r="F79" s="136"/>
      <c r="G79" s="43"/>
      <c r="H79" s="137"/>
    </row>
    <row r="80" spans="2:8" ht="12.75">
      <c r="B80" s="117" t="str">
        <f>B69</f>
        <v>Bespannung &amp; Lackierung</v>
      </c>
      <c r="C80" s="117"/>
      <c r="D80" s="43"/>
      <c r="E80" s="114"/>
      <c r="F80" s="158">
        <f>F72+F73+F74+F75+F77+F78</f>
        <v>13.919700000000002</v>
      </c>
      <c r="G80" s="102">
        <f>H80/F80</f>
        <v>39.280983067163795</v>
      </c>
      <c r="H80" s="124">
        <f>SUM(H71:H79)</f>
        <v>546.7795</v>
      </c>
    </row>
    <row r="81" spans="2:8" ht="12.75">
      <c r="B81" s="117"/>
      <c r="C81" s="117"/>
      <c r="D81" s="43"/>
      <c r="E81" s="114"/>
      <c r="F81" s="133"/>
      <c r="G81" s="43"/>
      <c r="H81" s="43"/>
    </row>
    <row r="82" spans="2:8" ht="12.75">
      <c r="B82" s="117" t="s">
        <v>93</v>
      </c>
      <c r="C82" s="117"/>
      <c r="D82" s="43"/>
      <c r="E82" s="43"/>
      <c r="F82" s="158">
        <f>F76+F77+F78</f>
        <v>37.3197</v>
      </c>
      <c r="G82" s="44"/>
      <c r="H82" s="100">
        <f>H66+H80</f>
        <v>1330.7795</v>
      </c>
    </row>
    <row r="83" spans="2:8" ht="12.75">
      <c r="B83" s="120" t="s">
        <v>60</v>
      </c>
      <c r="C83" s="120"/>
      <c r="D83" s="43"/>
      <c r="E83" s="43"/>
      <c r="F83" s="44"/>
      <c r="G83" s="102">
        <f>(H66+H82)/F82</f>
        <v>56.66657288241868</v>
      </c>
      <c r="H83" s="43"/>
    </row>
    <row r="84" spans="2:8" ht="12.75">
      <c r="B84" s="120" t="s">
        <v>54</v>
      </c>
      <c r="C84" s="120"/>
      <c r="D84" s="43"/>
      <c r="E84" s="43"/>
      <c r="F84" s="130"/>
      <c r="G84" s="102">
        <f>Abmessungen!B21+Abmessungen!B36+Abmessungen!B22+G83</f>
        <v>1038.6665728824187</v>
      </c>
      <c r="H84" s="100">
        <f>F82*G84</f>
        <v>38762.7249</v>
      </c>
    </row>
    <row r="85" spans="2:8" ht="12.75">
      <c r="B85" s="120"/>
      <c r="C85" s="120"/>
      <c r="D85" s="43"/>
      <c r="E85" s="43"/>
      <c r="F85" s="130"/>
      <c r="G85" s="130"/>
      <c r="H85" s="130"/>
    </row>
    <row r="86" spans="2:8" ht="13.5" thickBot="1">
      <c r="B86" s="22"/>
      <c r="C86" s="22"/>
      <c r="F86" s="34"/>
      <c r="G86" s="34"/>
      <c r="H86" s="34"/>
    </row>
    <row r="87" spans="2:8" ht="15.75">
      <c r="B87" s="105" t="s">
        <v>72</v>
      </c>
      <c r="C87" s="106"/>
      <c r="D87" s="95"/>
      <c r="E87" s="95"/>
      <c r="F87" s="95"/>
      <c r="G87" s="107"/>
      <c r="H87" s="34"/>
    </row>
    <row r="88" spans="2:8" ht="12.75">
      <c r="B88" s="108" t="s">
        <v>0</v>
      </c>
      <c r="C88" s="99"/>
      <c r="D88" s="43"/>
      <c r="E88" s="43"/>
      <c r="F88" s="102">
        <f>F44+F82</f>
        <v>118.95206</v>
      </c>
      <c r="G88" s="109"/>
      <c r="H88" s="34"/>
    </row>
    <row r="89" spans="2:8" ht="12.75">
      <c r="B89" s="108" t="s">
        <v>62</v>
      </c>
      <c r="C89" s="103">
        <f>Abmessungen!B18</f>
        <v>10.13</v>
      </c>
      <c r="D89" s="43"/>
      <c r="E89" s="43"/>
      <c r="F89" s="104"/>
      <c r="G89" s="109"/>
      <c r="H89" s="34"/>
    </row>
    <row r="90" spans="2:8" ht="12.75">
      <c r="B90" s="108" t="s">
        <v>63</v>
      </c>
      <c r="C90" s="224">
        <f>(C89/6.452)*100</f>
        <v>157.0055796652201</v>
      </c>
      <c r="D90" s="43"/>
      <c r="E90" s="43"/>
      <c r="F90" s="104"/>
      <c r="G90" s="109"/>
      <c r="H90" s="34"/>
    </row>
    <row r="91" spans="2:8" ht="12.75">
      <c r="B91" s="108" t="s">
        <v>64</v>
      </c>
      <c r="C91" s="224">
        <f>F88/C89</f>
        <v>11.742552813425469</v>
      </c>
      <c r="D91" s="43"/>
      <c r="E91" s="43"/>
      <c r="F91" s="104"/>
      <c r="G91" s="109"/>
      <c r="H91" s="34"/>
    </row>
    <row r="92" spans="2:7" ht="13.5" thickBot="1">
      <c r="B92" s="110" t="s">
        <v>54</v>
      </c>
      <c r="C92" s="111"/>
      <c r="D92" s="111"/>
      <c r="E92" s="111"/>
      <c r="F92" s="111"/>
      <c r="G92" s="112">
        <f>(H46+H84)/F88</f>
        <v>987.0554112303729</v>
      </c>
    </row>
  </sheetData>
  <mergeCells count="1">
    <mergeCell ref="C9:G9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workbookViewId="0" topLeftCell="A1">
      <selection activeCell="J102" sqref="J102"/>
    </sheetView>
  </sheetViews>
  <sheetFormatPr defaultColWidth="11.421875" defaultRowHeight="12.75"/>
  <cols>
    <col min="1" max="1" width="3.00390625" style="0" customWidth="1"/>
    <col min="2" max="2" width="36.7109375" style="0" customWidth="1"/>
    <col min="3" max="3" width="11.57421875" style="0" customWidth="1"/>
    <col min="4" max="4" width="7.8515625" style="0" customWidth="1"/>
    <col min="5" max="5" width="11.00390625" style="0" customWidth="1"/>
    <col min="6" max="6" width="8.421875" style="0" customWidth="1"/>
    <col min="7" max="7" width="6.8515625" style="0" customWidth="1"/>
    <col min="8" max="8" width="10.140625" style="0" customWidth="1"/>
    <col min="11" max="11" width="21.57421875" style="0" customWidth="1"/>
  </cols>
  <sheetData>
    <row r="1" spans="1:9" ht="12.75">
      <c r="A1" s="46"/>
      <c r="B1" s="46"/>
      <c r="C1" s="46"/>
      <c r="D1" s="46"/>
      <c r="E1" s="46"/>
      <c r="F1" s="46"/>
      <c r="G1" s="46"/>
      <c r="H1" s="46"/>
      <c r="I1" s="46"/>
    </row>
    <row r="2" spans="1:9" ht="12.75">
      <c r="A2" s="46"/>
      <c r="B2" s="44" t="s">
        <v>127</v>
      </c>
      <c r="C2" s="75" t="s">
        <v>140</v>
      </c>
      <c r="D2" s="46"/>
      <c r="E2" s="188"/>
      <c r="F2" s="46"/>
      <c r="G2" s="46"/>
      <c r="H2" s="46"/>
      <c r="I2" s="46"/>
    </row>
    <row r="3" spans="1:9" ht="12.75">
      <c r="A3" s="46"/>
      <c r="B3" s="48" t="s">
        <v>128</v>
      </c>
      <c r="C3" s="77"/>
      <c r="D3" s="46"/>
      <c r="E3" s="46"/>
      <c r="F3" s="46"/>
      <c r="G3" s="46"/>
      <c r="H3" s="46"/>
      <c r="I3" s="46"/>
    </row>
    <row r="4" spans="1:9" ht="12.75">
      <c r="A4" s="46"/>
      <c r="B4" s="43" t="s">
        <v>132</v>
      </c>
      <c r="C4" s="43"/>
      <c r="D4" s="46"/>
      <c r="E4" s="46"/>
      <c r="F4" s="46"/>
      <c r="G4" s="46"/>
      <c r="H4" s="46"/>
      <c r="I4" s="46"/>
    </row>
    <row r="5" spans="1:9" ht="12.75">
      <c r="A5" s="46"/>
      <c r="B5" s="44" t="s">
        <v>145</v>
      </c>
      <c r="C5" s="182"/>
      <c r="D5" s="46"/>
      <c r="E5" s="46"/>
      <c r="F5" s="46"/>
      <c r="G5" s="46"/>
      <c r="H5" s="46"/>
      <c r="I5" s="46"/>
    </row>
    <row r="6" spans="1:9" ht="12.75">
      <c r="A6" s="46"/>
      <c r="B6" s="130" t="s">
        <v>144</v>
      </c>
      <c r="C6" s="179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8" spans="1:9" ht="13.5" thickBot="1">
      <c r="A8" s="46"/>
      <c r="B8" s="46"/>
      <c r="C8" s="46"/>
      <c r="D8" s="46"/>
      <c r="E8" s="46"/>
      <c r="F8" s="46"/>
      <c r="G8" s="46"/>
      <c r="H8" s="46"/>
      <c r="I8" s="46"/>
    </row>
    <row r="9" spans="1:9" ht="30" customHeight="1" thickBot="1">
      <c r="A9" s="46"/>
      <c r="B9" s="47" t="s">
        <v>39</v>
      </c>
      <c r="C9" s="333" t="str">
        <f>Schwerpunktrechnung!D18</f>
        <v>Datum Rückseite Spinner</v>
      </c>
      <c r="D9" s="329"/>
      <c r="E9" s="329"/>
      <c r="F9" s="329"/>
      <c r="G9" s="330"/>
      <c r="H9" s="250"/>
      <c r="I9" s="46"/>
    </row>
    <row r="10" spans="1:9" ht="12.75">
      <c r="A10" s="46"/>
      <c r="B10" s="48" t="s">
        <v>40</v>
      </c>
      <c r="C10" s="230">
        <f>Abmessungen!B12-Abmessungen!B14</f>
        <v>36.00000000000001</v>
      </c>
      <c r="D10" s="48"/>
      <c r="E10" s="49"/>
      <c r="F10" s="49"/>
      <c r="G10" s="50"/>
      <c r="H10" s="200"/>
      <c r="I10" s="46"/>
    </row>
    <row r="11" spans="1:9" ht="12.75">
      <c r="A11" s="46"/>
      <c r="B11" s="48" t="s">
        <v>65</v>
      </c>
      <c r="C11" s="48" t="s">
        <v>226</v>
      </c>
      <c r="D11" s="48"/>
      <c r="E11" s="49"/>
      <c r="F11" s="251">
        <f>Schwerpunktrechnung!E2</f>
        <v>40570</v>
      </c>
      <c r="G11" s="51"/>
      <c r="H11" s="48"/>
      <c r="I11" s="46"/>
    </row>
    <row r="12" spans="1:9" ht="12.75">
      <c r="A12" s="46"/>
      <c r="B12" s="48"/>
      <c r="C12" s="48"/>
      <c r="D12" s="49"/>
      <c r="E12" s="49"/>
      <c r="F12" s="49"/>
      <c r="G12" s="51"/>
      <c r="H12" s="48"/>
      <c r="I12" s="46"/>
    </row>
    <row r="13" spans="1:9" ht="38.25">
      <c r="A13" s="46"/>
      <c r="B13" s="48"/>
      <c r="C13" s="48"/>
      <c r="D13" s="52" t="s">
        <v>129</v>
      </c>
      <c r="E13" s="52" t="s">
        <v>41</v>
      </c>
      <c r="F13" s="52" t="s">
        <v>0</v>
      </c>
      <c r="G13" s="53" t="s">
        <v>130</v>
      </c>
      <c r="H13" s="54" t="s">
        <v>2</v>
      </c>
      <c r="I13" s="46"/>
    </row>
    <row r="14" spans="1:9" ht="12.75">
      <c r="A14" s="46"/>
      <c r="B14" s="49"/>
      <c r="C14" s="49"/>
      <c r="D14" s="49"/>
      <c r="E14" s="49"/>
      <c r="F14" s="49"/>
      <c r="G14" s="51"/>
      <c r="H14" s="48"/>
      <c r="I14" s="46"/>
    </row>
    <row r="15" spans="1:9" ht="12.75">
      <c r="A15" s="46"/>
      <c r="B15" s="55" t="s">
        <v>247</v>
      </c>
      <c r="C15" s="55"/>
      <c r="D15" s="73"/>
      <c r="E15" s="74"/>
      <c r="F15" s="216"/>
      <c r="G15" s="75"/>
      <c r="H15" s="78"/>
      <c r="I15" s="46"/>
    </row>
    <row r="16" spans="1:9" ht="12.75">
      <c r="A16" s="46"/>
      <c r="B16" s="55"/>
      <c r="C16" s="55"/>
      <c r="D16" s="73"/>
      <c r="E16" s="74"/>
      <c r="F16" s="216"/>
      <c r="G16" s="75"/>
      <c r="H16" s="78"/>
      <c r="I16" s="46"/>
    </row>
    <row r="17" spans="1:9" ht="12.75">
      <c r="A17" s="46"/>
      <c r="B17" s="55" t="s">
        <v>233</v>
      </c>
      <c r="C17" s="55"/>
      <c r="D17" s="73">
        <v>4</v>
      </c>
      <c r="E17" s="74">
        <v>5</v>
      </c>
      <c r="F17" s="216">
        <f aca="true" t="shared" si="0" ref="F17:F41">D17*E17</f>
        <v>20</v>
      </c>
      <c r="G17" s="75">
        <v>115</v>
      </c>
      <c r="H17" s="78">
        <f aca="true" t="shared" si="1" ref="H17:H42">F17*G17</f>
        <v>2300</v>
      </c>
      <c r="I17" s="46"/>
    </row>
    <row r="18" spans="1:9" ht="12.75">
      <c r="A18" s="46"/>
      <c r="B18" s="55" t="s">
        <v>154</v>
      </c>
      <c r="C18" s="55"/>
      <c r="D18" s="73">
        <v>16</v>
      </c>
      <c r="E18" s="74">
        <v>0.32</v>
      </c>
      <c r="F18" s="216">
        <f t="shared" si="0"/>
        <v>5.12</v>
      </c>
      <c r="G18" s="75">
        <v>115</v>
      </c>
      <c r="H18" s="78">
        <f t="shared" si="1"/>
        <v>588.8000000000001</v>
      </c>
      <c r="I18" s="46"/>
    </row>
    <row r="19" spans="1:9" ht="12.75">
      <c r="A19" s="46"/>
      <c r="B19" s="55" t="s">
        <v>248</v>
      </c>
      <c r="C19" s="55"/>
      <c r="D19" s="73">
        <v>22</v>
      </c>
      <c r="E19" s="74">
        <v>0.23</v>
      </c>
      <c r="F19" s="216">
        <f t="shared" si="0"/>
        <v>5.0600000000000005</v>
      </c>
      <c r="G19" s="75">
        <v>240</v>
      </c>
      <c r="H19" s="78">
        <f t="shared" si="1"/>
        <v>1214.4</v>
      </c>
      <c r="I19" s="46"/>
    </row>
    <row r="20" spans="1:9" ht="12.75">
      <c r="A20" s="46"/>
      <c r="B20" s="55" t="s">
        <v>152</v>
      </c>
      <c r="C20" s="55"/>
      <c r="D20" s="73">
        <v>2</v>
      </c>
      <c r="E20" s="74">
        <v>2</v>
      </c>
      <c r="F20" s="216">
        <f t="shared" si="0"/>
        <v>4</v>
      </c>
      <c r="G20" s="75">
        <v>40</v>
      </c>
      <c r="H20" s="78">
        <f t="shared" si="1"/>
        <v>160</v>
      </c>
      <c r="I20" s="46"/>
    </row>
    <row r="21" spans="1:9" ht="12.75">
      <c r="A21" s="46"/>
      <c r="B21" s="269" t="s">
        <v>231</v>
      </c>
      <c r="C21" s="55"/>
      <c r="D21" s="73">
        <v>2</v>
      </c>
      <c r="E21" s="74">
        <v>8</v>
      </c>
      <c r="F21" s="216">
        <f t="shared" si="0"/>
        <v>16</v>
      </c>
      <c r="G21" s="75">
        <v>105</v>
      </c>
      <c r="H21" s="78">
        <f t="shared" si="1"/>
        <v>1680</v>
      </c>
      <c r="I21" s="46"/>
    </row>
    <row r="22" spans="1:9" ht="12.75">
      <c r="A22" s="46"/>
      <c r="B22" s="55" t="s">
        <v>227</v>
      </c>
      <c r="C22" s="55"/>
      <c r="D22" s="73">
        <v>1</v>
      </c>
      <c r="E22" s="74">
        <v>30</v>
      </c>
      <c r="F22" s="216">
        <f t="shared" si="0"/>
        <v>30</v>
      </c>
      <c r="G22" s="75">
        <v>108</v>
      </c>
      <c r="H22" s="78">
        <f t="shared" si="1"/>
        <v>3240</v>
      </c>
      <c r="I22" s="46"/>
    </row>
    <row r="23" spans="1:9" ht="12.75">
      <c r="A23" s="46"/>
      <c r="B23" s="284" t="s">
        <v>253</v>
      </c>
      <c r="C23" s="55"/>
      <c r="D23" s="73">
        <v>1</v>
      </c>
      <c r="E23" s="74">
        <v>10</v>
      </c>
      <c r="F23" s="216">
        <f t="shared" si="0"/>
        <v>10</v>
      </c>
      <c r="G23" s="75">
        <v>195</v>
      </c>
      <c r="H23" s="78">
        <f t="shared" si="1"/>
        <v>1950</v>
      </c>
      <c r="I23" s="46"/>
    </row>
    <row r="24" spans="1:9" ht="12.75">
      <c r="A24" s="46"/>
      <c r="B24" s="239" t="s">
        <v>250</v>
      </c>
      <c r="C24" s="55"/>
      <c r="D24" s="73">
        <v>1</v>
      </c>
      <c r="E24" s="74">
        <v>19</v>
      </c>
      <c r="F24" s="216">
        <f t="shared" si="0"/>
        <v>19</v>
      </c>
      <c r="G24" s="75">
        <v>270</v>
      </c>
      <c r="H24" s="78">
        <f t="shared" si="1"/>
        <v>5130</v>
      </c>
      <c r="I24" s="46"/>
    </row>
    <row r="25" spans="1:9" ht="12.75">
      <c r="A25" s="46"/>
      <c r="B25" s="239" t="s">
        <v>251</v>
      </c>
      <c r="C25" s="55"/>
      <c r="D25" s="73">
        <v>8</v>
      </c>
      <c r="E25" s="74">
        <v>1.5</v>
      </c>
      <c r="F25" s="216">
        <f t="shared" si="0"/>
        <v>12</v>
      </c>
      <c r="G25" s="75">
        <v>260</v>
      </c>
      <c r="H25" s="78">
        <f t="shared" si="1"/>
        <v>3120</v>
      </c>
      <c r="I25" s="46"/>
    </row>
    <row r="26" spans="1:9" ht="12.75">
      <c r="A26" s="46"/>
      <c r="B26" s="55" t="s">
        <v>45</v>
      </c>
      <c r="C26" s="55"/>
      <c r="D26" s="73">
        <v>2</v>
      </c>
      <c r="E26" s="74">
        <v>7</v>
      </c>
      <c r="F26" s="216">
        <f t="shared" si="0"/>
        <v>14</v>
      </c>
      <c r="G26" s="75">
        <v>120</v>
      </c>
      <c r="H26" s="78">
        <f t="shared" si="1"/>
        <v>1680</v>
      </c>
      <c r="I26" s="46"/>
    </row>
    <row r="27" spans="1:9" ht="12.75">
      <c r="A27" s="46"/>
      <c r="B27" s="55" t="s">
        <v>252</v>
      </c>
      <c r="C27" s="55"/>
      <c r="D27" s="73">
        <v>1</v>
      </c>
      <c r="E27" s="74">
        <v>32</v>
      </c>
      <c r="F27" s="216">
        <f t="shared" si="0"/>
        <v>32</v>
      </c>
      <c r="G27" s="75">
        <v>125</v>
      </c>
      <c r="H27" s="78">
        <f t="shared" si="1"/>
        <v>4000</v>
      </c>
      <c r="I27" s="46"/>
    </row>
    <row r="28" spans="1:10" ht="12.75">
      <c r="A28" s="46"/>
      <c r="B28" s="55" t="s">
        <v>230</v>
      </c>
      <c r="C28" s="55"/>
      <c r="D28" s="73">
        <v>1</v>
      </c>
      <c r="E28" s="74">
        <v>6</v>
      </c>
      <c r="F28" s="216">
        <f t="shared" si="0"/>
        <v>6</v>
      </c>
      <c r="G28" s="75">
        <v>120</v>
      </c>
      <c r="H28" s="78">
        <f t="shared" si="1"/>
        <v>720</v>
      </c>
      <c r="I28" s="46"/>
      <c r="J28" s="1"/>
    </row>
    <row r="29" spans="1:10" ht="12.75">
      <c r="A29" s="46"/>
      <c r="B29" s="55"/>
      <c r="C29" s="55"/>
      <c r="D29" s="73"/>
      <c r="E29" s="74"/>
      <c r="F29" s="216">
        <f t="shared" si="0"/>
        <v>0</v>
      </c>
      <c r="G29" s="75"/>
      <c r="H29" s="78">
        <f t="shared" si="1"/>
        <v>0</v>
      </c>
      <c r="I29" s="46"/>
      <c r="J29" s="1"/>
    </row>
    <row r="30" spans="1:9" ht="12.75">
      <c r="A30" s="46"/>
      <c r="B30" s="55" t="s">
        <v>249</v>
      </c>
      <c r="C30" s="55"/>
      <c r="D30" s="73">
        <v>1</v>
      </c>
      <c r="E30" s="74">
        <v>8</v>
      </c>
      <c r="F30" s="216">
        <f t="shared" si="0"/>
        <v>8</v>
      </c>
      <c r="G30" s="75">
        <v>257</v>
      </c>
      <c r="H30" s="78">
        <f t="shared" si="1"/>
        <v>2056</v>
      </c>
      <c r="I30" s="46"/>
    </row>
    <row r="31" spans="1:9" ht="12.75">
      <c r="A31" s="46"/>
      <c r="B31" s="55" t="s">
        <v>234</v>
      </c>
      <c r="C31" s="55"/>
      <c r="D31" s="73">
        <v>2</v>
      </c>
      <c r="E31" s="74">
        <v>19</v>
      </c>
      <c r="F31" s="216">
        <f t="shared" si="0"/>
        <v>38</v>
      </c>
      <c r="G31" s="75">
        <v>90</v>
      </c>
      <c r="H31" s="78">
        <f t="shared" si="1"/>
        <v>3420</v>
      </c>
      <c r="I31" s="46"/>
    </row>
    <row r="32" spans="1:9" ht="12.75">
      <c r="A32" s="46"/>
      <c r="B32" s="55" t="s">
        <v>235</v>
      </c>
      <c r="C32" s="55"/>
      <c r="D32" s="73">
        <v>2</v>
      </c>
      <c r="E32" s="74">
        <v>4</v>
      </c>
      <c r="F32" s="216">
        <f t="shared" si="0"/>
        <v>8</v>
      </c>
      <c r="G32" s="75">
        <v>170</v>
      </c>
      <c r="H32" s="78">
        <f t="shared" si="1"/>
        <v>1360</v>
      </c>
      <c r="I32" s="46"/>
    </row>
    <row r="33" spans="1:9" ht="12.75">
      <c r="A33" s="46"/>
      <c r="B33" s="55" t="s">
        <v>43</v>
      </c>
      <c r="C33" s="55"/>
      <c r="D33" s="73">
        <v>2</v>
      </c>
      <c r="E33" s="74">
        <v>5</v>
      </c>
      <c r="F33" s="216">
        <f t="shared" si="0"/>
        <v>10</v>
      </c>
      <c r="G33" s="75">
        <v>250</v>
      </c>
      <c r="H33" s="78">
        <f t="shared" si="1"/>
        <v>2500</v>
      </c>
      <c r="I33" s="46"/>
    </row>
    <row r="34" spans="1:9" ht="12.75">
      <c r="A34" s="46"/>
      <c r="B34" s="55" t="s">
        <v>44</v>
      </c>
      <c r="C34" s="55"/>
      <c r="D34" s="73">
        <v>40</v>
      </c>
      <c r="E34" s="74">
        <v>0.1</v>
      </c>
      <c r="F34" s="216">
        <f t="shared" si="0"/>
        <v>4</v>
      </c>
      <c r="G34" s="75">
        <v>185</v>
      </c>
      <c r="H34" s="78">
        <f t="shared" si="1"/>
        <v>740</v>
      </c>
      <c r="I34" s="46"/>
    </row>
    <row r="35" spans="1:9" ht="12.75">
      <c r="A35" s="46"/>
      <c r="B35" s="55"/>
      <c r="C35" s="55"/>
      <c r="D35" s="73"/>
      <c r="E35" s="74"/>
      <c r="F35" s="216">
        <f t="shared" si="0"/>
        <v>0</v>
      </c>
      <c r="G35" s="75"/>
      <c r="H35" s="78">
        <f t="shared" si="1"/>
        <v>0</v>
      </c>
      <c r="I35" s="46"/>
    </row>
    <row r="36" spans="1:12" ht="12.75">
      <c r="A36" s="46"/>
      <c r="B36" s="55" t="s">
        <v>46</v>
      </c>
      <c r="C36" s="55"/>
      <c r="D36" s="73">
        <v>1</v>
      </c>
      <c r="E36" s="74">
        <v>7</v>
      </c>
      <c r="F36" s="216">
        <f t="shared" si="0"/>
        <v>7</v>
      </c>
      <c r="G36" s="75">
        <v>170</v>
      </c>
      <c r="H36" s="78">
        <f t="shared" si="1"/>
        <v>1190</v>
      </c>
      <c r="I36" s="46"/>
      <c r="L36" s="26"/>
    </row>
    <row r="37" spans="1:9" ht="25.5">
      <c r="A37" s="46"/>
      <c r="B37" s="55" t="s">
        <v>255</v>
      </c>
      <c r="C37" s="55"/>
      <c r="D37" s="73">
        <v>1</v>
      </c>
      <c r="E37" s="74">
        <v>15</v>
      </c>
      <c r="F37" s="216">
        <f t="shared" si="0"/>
        <v>15</v>
      </c>
      <c r="G37" s="75">
        <v>160</v>
      </c>
      <c r="H37" s="78">
        <f t="shared" si="1"/>
        <v>2400</v>
      </c>
      <c r="I37" s="46"/>
    </row>
    <row r="38" spans="1:9" ht="12.75">
      <c r="A38" s="46"/>
      <c r="B38" s="55" t="s">
        <v>254</v>
      </c>
      <c r="C38" s="55"/>
      <c r="D38" s="73">
        <v>1</v>
      </c>
      <c r="E38" s="74">
        <v>41</v>
      </c>
      <c r="F38" s="216">
        <f t="shared" si="0"/>
        <v>41</v>
      </c>
      <c r="G38" s="75">
        <v>180</v>
      </c>
      <c r="H38" s="78">
        <f t="shared" si="1"/>
        <v>7380</v>
      </c>
      <c r="I38" s="46"/>
    </row>
    <row r="39" spans="1:9" ht="12.75">
      <c r="A39" s="46"/>
      <c r="B39" s="55"/>
      <c r="C39" s="55"/>
      <c r="D39" s="73"/>
      <c r="E39" s="74"/>
      <c r="F39" s="216">
        <f t="shared" si="0"/>
        <v>0</v>
      </c>
      <c r="G39" s="75"/>
      <c r="H39" s="78">
        <f t="shared" si="1"/>
        <v>0</v>
      </c>
      <c r="I39" s="46"/>
    </row>
    <row r="40" spans="1:9" ht="12.75">
      <c r="A40" s="46"/>
      <c r="B40" s="55" t="s">
        <v>47</v>
      </c>
      <c r="C40" s="55"/>
      <c r="D40" s="73">
        <v>1</v>
      </c>
      <c r="E40" s="74">
        <v>2</v>
      </c>
      <c r="F40" s="216">
        <f t="shared" si="0"/>
        <v>2</v>
      </c>
      <c r="G40" s="75">
        <v>290</v>
      </c>
      <c r="H40" s="78">
        <f t="shared" si="1"/>
        <v>580</v>
      </c>
      <c r="I40" s="46"/>
    </row>
    <row r="41" spans="1:9" ht="12.75">
      <c r="A41" s="46"/>
      <c r="B41" s="55" t="s">
        <v>266</v>
      </c>
      <c r="C41" s="55"/>
      <c r="D41" s="73">
        <v>1</v>
      </c>
      <c r="E41" s="74">
        <v>6</v>
      </c>
      <c r="F41" s="216">
        <f t="shared" si="0"/>
        <v>6</v>
      </c>
      <c r="G41" s="75">
        <v>270</v>
      </c>
      <c r="H41" s="78">
        <f t="shared" si="1"/>
        <v>1620</v>
      </c>
      <c r="I41" s="46"/>
    </row>
    <row r="42" spans="1:11" ht="13.5" thickBot="1">
      <c r="A42" s="46"/>
      <c r="B42" s="55"/>
      <c r="C42" s="55"/>
      <c r="D42" s="73"/>
      <c r="E42" s="74"/>
      <c r="F42" s="228"/>
      <c r="G42" s="75"/>
      <c r="H42" s="79">
        <f t="shared" si="1"/>
        <v>0</v>
      </c>
      <c r="I42" s="46"/>
      <c r="K42" s="46"/>
    </row>
    <row r="43" spans="1:9" ht="12.75">
      <c r="A43" s="46"/>
      <c r="B43" s="55"/>
      <c r="C43" s="55"/>
      <c r="D43" s="48"/>
      <c r="E43" s="48"/>
      <c r="F43" s="82"/>
      <c r="G43" s="44"/>
      <c r="H43" s="63"/>
      <c r="I43" s="46"/>
    </row>
    <row r="44" spans="1:9" ht="12.75">
      <c r="A44" s="46"/>
      <c r="B44" s="52" t="s">
        <v>35</v>
      </c>
      <c r="C44" s="52"/>
      <c r="D44" s="49"/>
      <c r="E44" s="48"/>
      <c r="F44" s="285">
        <f>SUM(F15:F43)</f>
        <v>312.18</v>
      </c>
      <c r="G44" s="86">
        <f>H44/F44</f>
        <v>157.05426356589146</v>
      </c>
      <c r="H44" s="78">
        <f>SUM(H17:H42)</f>
        <v>49029.2</v>
      </c>
      <c r="I44" s="61"/>
    </row>
    <row r="45" spans="1:9" ht="12.75">
      <c r="A45" s="46"/>
      <c r="B45" s="55" t="s">
        <v>49</v>
      </c>
      <c r="C45" s="55"/>
      <c r="D45" s="48"/>
      <c r="E45" s="48"/>
      <c r="F45" s="273">
        <v>-10</v>
      </c>
      <c r="G45" s="75">
        <v>160</v>
      </c>
      <c r="H45" s="64">
        <f>F45*G45</f>
        <v>-1600</v>
      </c>
      <c r="I45" s="46"/>
    </row>
    <row r="46" spans="1:9" ht="13.5" thickBot="1">
      <c r="A46" s="46"/>
      <c r="B46" s="55"/>
      <c r="C46" s="55"/>
      <c r="D46" s="48"/>
      <c r="E46" s="48"/>
      <c r="F46" s="286"/>
      <c r="G46" s="75"/>
      <c r="H46" s="80">
        <f>F46*G46</f>
        <v>0</v>
      </c>
      <c r="I46" s="46"/>
    </row>
    <row r="47" spans="1:9" ht="12.75">
      <c r="A47" s="46"/>
      <c r="B47" s="55"/>
      <c r="C47" s="55"/>
      <c r="D47" s="48"/>
      <c r="E47" s="48"/>
      <c r="F47" s="63"/>
      <c r="G47" s="76"/>
      <c r="H47" s="63"/>
      <c r="I47" s="46"/>
    </row>
    <row r="48" spans="1:9" ht="12.75">
      <c r="A48" s="46"/>
      <c r="B48" s="52" t="s">
        <v>66</v>
      </c>
      <c r="C48" s="52"/>
      <c r="D48" s="48"/>
      <c r="E48" s="48"/>
      <c r="F48" s="285">
        <f>F44+F45+F46</f>
        <v>302.18</v>
      </c>
      <c r="G48" s="285">
        <f>H48/F48</f>
        <v>156.95678072671916</v>
      </c>
      <c r="H48" s="78">
        <f>H44+H45+H46</f>
        <v>47429.2</v>
      </c>
      <c r="I48" s="288"/>
    </row>
    <row r="49" spans="1:9" ht="12.75">
      <c r="A49" s="46"/>
      <c r="B49" s="52"/>
      <c r="C49" s="52"/>
      <c r="D49" s="48"/>
      <c r="E49" s="48"/>
      <c r="F49" s="60"/>
      <c r="G49" s="48"/>
      <c r="H49" s="56"/>
      <c r="I49" s="46"/>
    </row>
    <row r="50" spans="1:9" ht="12.75">
      <c r="A50" s="46"/>
      <c r="B50" s="52"/>
      <c r="C50" s="52"/>
      <c r="D50" s="48"/>
      <c r="E50" s="48"/>
      <c r="F50" s="60"/>
      <c r="G50" s="48"/>
      <c r="H50" s="56"/>
      <c r="I50" s="46"/>
    </row>
    <row r="51" spans="1:9" ht="12.75">
      <c r="A51" s="46"/>
      <c r="B51" s="55"/>
      <c r="C51" s="55"/>
      <c r="D51" s="48"/>
      <c r="E51" s="48"/>
      <c r="F51" s="49"/>
      <c r="G51" s="48"/>
      <c r="H51" s="48"/>
      <c r="I51" s="46"/>
    </row>
    <row r="52" spans="1:9" ht="25.5">
      <c r="A52" s="46"/>
      <c r="B52" s="52" t="s">
        <v>36</v>
      </c>
      <c r="C52" s="52" t="s">
        <v>52</v>
      </c>
      <c r="D52" s="65" t="s">
        <v>4</v>
      </c>
      <c r="E52" s="65" t="s">
        <v>3</v>
      </c>
      <c r="F52" s="49" t="s">
        <v>0</v>
      </c>
      <c r="G52" s="53" t="s">
        <v>130</v>
      </c>
      <c r="H52" s="54" t="s">
        <v>2</v>
      </c>
      <c r="I52" s="46"/>
    </row>
    <row r="53" spans="1:9" ht="12.75">
      <c r="A53" s="46"/>
      <c r="B53" s="52"/>
      <c r="C53" s="52"/>
      <c r="D53" s="65"/>
      <c r="E53" s="65"/>
      <c r="F53" s="49"/>
      <c r="G53" s="53"/>
      <c r="H53" s="54"/>
      <c r="I53" s="46"/>
    </row>
    <row r="54" spans="1:9" ht="12.75">
      <c r="A54" s="46"/>
      <c r="B54" s="239" t="s">
        <v>256</v>
      </c>
      <c r="C54" s="52"/>
      <c r="D54" s="65"/>
      <c r="E54" s="287"/>
      <c r="F54" s="338">
        <v>6</v>
      </c>
      <c r="G54" s="340">
        <v>120</v>
      </c>
      <c r="H54" s="276">
        <f>F54*G54</f>
        <v>720</v>
      </c>
      <c r="I54" s="46"/>
    </row>
    <row r="55" spans="1:13" ht="12.75">
      <c r="A55" s="46"/>
      <c r="B55" s="55" t="s">
        <v>38</v>
      </c>
      <c r="C55" s="55"/>
      <c r="D55" s="74">
        <v>40</v>
      </c>
      <c r="E55" s="77">
        <f>Gewichte!C80</f>
        <v>0.21</v>
      </c>
      <c r="F55" s="339">
        <f>D55*E55</f>
        <v>8.4</v>
      </c>
      <c r="G55" s="313">
        <v>160</v>
      </c>
      <c r="H55" s="56">
        <f aca="true" t="shared" si="2" ref="H55:H61">F55*G55</f>
        <v>1344</v>
      </c>
      <c r="I55" s="46"/>
      <c r="K55" s="207"/>
      <c r="M55">
        <v>323</v>
      </c>
    </row>
    <row r="56" spans="1:13" ht="12.75">
      <c r="A56" s="46"/>
      <c r="B56" s="55" t="s">
        <v>268</v>
      </c>
      <c r="C56" s="55"/>
      <c r="D56" s="216">
        <f>C10*2</f>
        <v>72.00000000000001</v>
      </c>
      <c r="E56" s="77">
        <f>Gewichte!C84</f>
        <v>0.181</v>
      </c>
      <c r="F56" s="339">
        <f>D56*E56</f>
        <v>13.032000000000002</v>
      </c>
      <c r="G56" s="313">
        <v>145</v>
      </c>
      <c r="H56" s="56">
        <f t="shared" si="2"/>
        <v>1889.6400000000003</v>
      </c>
      <c r="I56" s="46"/>
      <c r="K56" s="206"/>
      <c r="M56">
        <v>334</v>
      </c>
    </row>
    <row r="57" spans="1:13" ht="12.75">
      <c r="A57" s="46"/>
      <c r="B57" s="55" t="s">
        <v>323</v>
      </c>
      <c r="C57" s="84">
        <v>4</v>
      </c>
      <c r="D57" s="216">
        <f>D56</f>
        <v>72.00000000000001</v>
      </c>
      <c r="E57" s="77">
        <f>Gewichte!C75</f>
        <v>0.13</v>
      </c>
      <c r="F57" s="216">
        <f>C57*D57*E57</f>
        <v>37.44000000000001</v>
      </c>
      <c r="G57" s="313">
        <v>145</v>
      </c>
      <c r="H57" s="56">
        <f t="shared" si="2"/>
        <v>5428.800000000002</v>
      </c>
      <c r="I57" s="46"/>
      <c r="K57" s="213"/>
      <c r="M57">
        <v>349</v>
      </c>
    </row>
    <row r="58" spans="1:13" ht="12.75">
      <c r="A58" s="46"/>
      <c r="B58" s="55"/>
      <c r="C58" s="209"/>
      <c r="D58" s="216"/>
      <c r="E58" s="77"/>
      <c r="F58" s="216">
        <f>D58*E58</f>
        <v>0</v>
      </c>
      <c r="G58" s="313"/>
      <c r="H58" s="56"/>
      <c r="I58" s="46"/>
      <c r="M58" s="31">
        <v>355</v>
      </c>
    </row>
    <row r="59" spans="1:13" ht="12.75">
      <c r="A59" s="46"/>
      <c r="B59" s="99" t="s">
        <v>325</v>
      </c>
      <c r="C59" s="209"/>
      <c r="D59" s="216"/>
      <c r="E59" s="64"/>
      <c r="F59" s="86">
        <f>F48+F55+F56+F57+F58</f>
        <v>361.05199999999996</v>
      </c>
      <c r="G59" s="341"/>
      <c r="H59" s="56"/>
      <c r="I59" s="46"/>
      <c r="K59" s="214"/>
      <c r="M59" s="31"/>
    </row>
    <row r="60" spans="1:9" ht="12.75">
      <c r="A60" s="46"/>
      <c r="B60" s="55" t="s">
        <v>327</v>
      </c>
      <c r="C60" s="55"/>
      <c r="D60" s="216">
        <f>D56</f>
        <v>72.00000000000001</v>
      </c>
      <c r="E60" s="77">
        <f>Gewichte!C86</f>
        <v>0.28</v>
      </c>
      <c r="F60" s="342">
        <f>D60*E60</f>
        <v>20.160000000000007</v>
      </c>
      <c r="G60" s="313">
        <v>145</v>
      </c>
      <c r="H60" s="56">
        <f t="shared" si="2"/>
        <v>2923.200000000001</v>
      </c>
      <c r="I60" s="46"/>
    </row>
    <row r="61" spans="1:11" ht="13.5" thickBot="1">
      <c r="A61" s="46"/>
      <c r="B61" s="55" t="s">
        <v>37</v>
      </c>
      <c r="C61" s="55"/>
      <c r="D61" s="216">
        <f>D56</f>
        <v>72.00000000000001</v>
      </c>
      <c r="E61" s="77">
        <f>Gewichte!C87</f>
        <v>0.45</v>
      </c>
      <c r="F61" s="228">
        <f>D61*E61</f>
        <v>32.400000000000006</v>
      </c>
      <c r="G61" s="313">
        <v>145</v>
      </c>
      <c r="H61" s="57">
        <f t="shared" si="2"/>
        <v>4698.000000000001</v>
      </c>
      <c r="I61" s="46"/>
      <c r="K61" s="206"/>
    </row>
    <row r="62" spans="1:9" ht="12.75">
      <c r="A62" s="46"/>
      <c r="B62" s="55"/>
      <c r="C62" s="55"/>
      <c r="D62" s="48"/>
      <c r="E62" s="48"/>
      <c r="F62" s="58"/>
      <c r="G62" s="48"/>
      <c r="H62" s="59"/>
      <c r="I62" s="46"/>
    </row>
    <row r="63" spans="1:9" ht="12.75">
      <c r="A63" s="46"/>
      <c r="B63" s="52" t="str">
        <f>B52</f>
        <v>Bespannung &amp; Lackierung</v>
      </c>
      <c r="C63" s="52"/>
      <c r="D63" s="48"/>
      <c r="E63" s="48"/>
      <c r="F63" s="158">
        <f>F55+F56+F57+F58+F60+F61</f>
        <v>111.43200000000003</v>
      </c>
      <c r="G63" s="102">
        <f>H63/F63</f>
        <v>152.59207409002798</v>
      </c>
      <c r="H63" s="56">
        <f>SUM(H54:H62)</f>
        <v>17003.640000000003</v>
      </c>
      <c r="I63" s="46"/>
    </row>
    <row r="64" spans="1:10" ht="12.75">
      <c r="A64" s="46"/>
      <c r="B64" s="55"/>
      <c r="C64" s="55"/>
      <c r="D64" s="48"/>
      <c r="E64" s="48"/>
      <c r="F64" s="48"/>
      <c r="G64" s="48"/>
      <c r="H64" s="48"/>
      <c r="I64" s="46"/>
      <c r="J64" s="208"/>
    </row>
    <row r="65" spans="1:9" ht="12.75">
      <c r="A65" s="46"/>
      <c r="B65" s="55"/>
      <c r="C65" s="55"/>
      <c r="D65" s="48"/>
      <c r="E65" s="48"/>
      <c r="F65" s="48"/>
      <c r="G65" s="48"/>
      <c r="H65" s="48"/>
      <c r="I65" s="46"/>
    </row>
    <row r="66" spans="1:9" ht="12.75">
      <c r="A66" s="46"/>
      <c r="B66" s="52" t="s">
        <v>180</v>
      </c>
      <c r="C66" s="52"/>
      <c r="D66" s="49"/>
      <c r="E66" s="48"/>
      <c r="F66" s="86">
        <f>F59+F60+F61</f>
        <v>413.61199999999997</v>
      </c>
      <c r="G66" s="56"/>
      <c r="H66" s="48"/>
      <c r="I66" s="66"/>
    </row>
    <row r="67" spans="1:9" ht="12.75">
      <c r="A67" s="46"/>
      <c r="B67" s="55" t="s">
        <v>53</v>
      </c>
      <c r="C67" s="52"/>
      <c r="D67" s="49"/>
      <c r="E67" s="48"/>
      <c r="F67" s="60"/>
      <c r="G67" s="86">
        <f>(H48+H63)/F66</f>
        <v>155.78087676373028</v>
      </c>
      <c r="H67" s="48"/>
      <c r="I67" s="66"/>
    </row>
    <row r="68" spans="1:9" ht="12.75">
      <c r="A68" s="46"/>
      <c r="B68" s="55" t="s">
        <v>54</v>
      </c>
      <c r="C68" s="55"/>
      <c r="D68" s="48"/>
      <c r="E68" s="48"/>
      <c r="F68" s="48"/>
      <c r="G68" s="86">
        <f>G67+Abmessungen!B21</f>
        <v>420.78087676373025</v>
      </c>
      <c r="H68" s="56">
        <f>F66*G68</f>
        <v>174040.02</v>
      </c>
      <c r="I68" s="46"/>
    </row>
    <row r="69" spans="1:9" ht="12.75">
      <c r="A69" s="46"/>
      <c r="B69" s="55"/>
      <c r="C69" s="55"/>
      <c r="D69" s="48"/>
      <c r="E69" s="48"/>
      <c r="F69" s="48"/>
      <c r="G69" s="48"/>
      <c r="H69" s="48"/>
      <c r="I69" s="46"/>
    </row>
    <row r="70" spans="1:9" ht="12.75">
      <c r="A70" s="46"/>
      <c r="B70" s="67"/>
      <c r="C70" s="67"/>
      <c r="D70" s="46"/>
      <c r="E70" s="46"/>
      <c r="F70" s="46"/>
      <c r="G70" s="46"/>
      <c r="H70" s="46"/>
      <c r="I70" s="46"/>
    </row>
    <row r="71" spans="1:9" ht="26.25">
      <c r="A71" s="46"/>
      <c r="B71" s="68" t="s">
        <v>55</v>
      </c>
      <c r="C71" s="99" t="s">
        <v>326</v>
      </c>
      <c r="D71" s="48"/>
      <c r="E71" s="48"/>
      <c r="F71" s="252">
        <f>F11</f>
        <v>40570</v>
      </c>
      <c r="G71" s="48"/>
      <c r="H71" s="48"/>
      <c r="I71" s="46"/>
    </row>
    <row r="72" spans="1:9" ht="12.75">
      <c r="A72" s="46"/>
      <c r="B72" s="55" t="s">
        <v>56</v>
      </c>
      <c r="C72" s="231">
        <f>Abmessungen!B14</f>
        <v>6.955</v>
      </c>
      <c r="D72" s="48"/>
      <c r="E72" s="48"/>
      <c r="F72" s="49"/>
      <c r="G72" s="49"/>
      <c r="H72" s="48"/>
      <c r="I72" s="46"/>
    </row>
    <row r="73" spans="1:9" ht="12.75">
      <c r="A73" s="46"/>
      <c r="B73" s="55" t="s">
        <v>65</v>
      </c>
      <c r="C73" s="48" t="s">
        <v>57</v>
      </c>
      <c r="D73" s="48"/>
      <c r="E73" s="48"/>
      <c r="F73" s="49"/>
      <c r="G73" s="49"/>
      <c r="H73" s="48"/>
      <c r="I73" s="46"/>
    </row>
    <row r="74" spans="1:11" ht="12.75">
      <c r="A74" s="46"/>
      <c r="B74" s="52"/>
      <c r="C74" s="52"/>
      <c r="D74" s="49"/>
      <c r="E74" s="49"/>
      <c r="F74" s="49"/>
      <c r="G74" s="49"/>
      <c r="H74" s="48"/>
      <c r="I74" s="46"/>
      <c r="K74" s="289"/>
    </row>
    <row r="75" spans="1:9" ht="38.25">
      <c r="A75" s="46"/>
      <c r="B75" s="55"/>
      <c r="C75" s="55"/>
      <c r="D75" s="52" t="s">
        <v>131</v>
      </c>
      <c r="E75" s="52" t="s">
        <v>41</v>
      </c>
      <c r="F75" s="52" t="s">
        <v>0</v>
      </c>
      <c r="G75" s="53" t="s">
        <v>130</v>
      </c>
      <c r="H75" s="54" t="s">
        <v>2</v>
      </c>
      <c r="I75" s="46"/>
    </row>
    <row r="76" spans="1:9" ht="12.75">
      <c r="A76" s="46"/>
      <c r="B76" s="55"/>
      <c r="C76" s="55"/>
      <c r="D76" s="48"/>
      <c r="E76" s="48"/>
      <c r="F76" s="48"/>
      <c r="G76" s="48"/>
      <c r="H76" s="48"/>
      <c r="I76" s="46"/>
    </row>
    <row r="77" spans="1:9" ht="12.75">
      <c r="A77" s="46"/>
      <c r="B77" s="55" t="s">
        <v>260</v>
      </c>
      <c r="C77" s="55"/>
      <c r="D77" s="73">
        <v>2</v>
      </c>
      <c r="E77" s="74">
        <v>1.5</v>
      </c>
      <c r="F77" s="216">
        <f aca="true" t="shared" si="3" ref="F77:F82">D77*E77</f>
        <v>3</v>
      </c>
      <c r="G77" s="75">
        <v>30</v>
      </c>
      <c r="H77" s="56">
        <f>F77*G77</f>
        <v>90</v>
      </c>
      <c r="I77" s="46"/>
    </row>
    <row r="78" spans="1:9" ht="12.75">
      <c r="A78" s="46"/>
      <c r="B78" s="55" t="s">
        <v>198</v>
      </c>
      <c r="C78" s="55"/>
      <c r="D78" s="73">
        <v>4</v>
      </c>
      <c r="E78" s="74">
        <v>4</v>
      </c>
      <c r="F78" s="216">
        <f t="shared" si="3"/>
        <v>16</v>
      </c>
      <c r="G78" s="75">
        <v>25</v>
      </c>
      <c r="H78" s="56">
        <f aca="true" t="shared" si="4" ref="H78:H85">F78*G78</f>
        <v>400</v>
      </c>
      <c r="I78" s="46"/>
    </row>
    <row r="79" spans="1:9" ht="12.75">
      <c r="A79" s="46"/>
      <c r="B79" s="55" t="s">
        <v>261</v>
      </c>
      <c r="C79" s="55"/>
      <c r="D79" s="218">
        <f>C72*4</f>
        <v>27.82</v>
      </c>
      <c r="E79" s="290">
        <f>Gewichte!C88</f>
        <v>0.3</v>
      </c>
      <c r="F79" s="216">
        <f t="shared" si="3"/>
        <v>8.346</v>
      </c>
      <c r="G79" s="75">
        <v>25</v>
      </c>
      <c r="H79" s="56">
        <f t="shared" si="4"/>
        <v>208.65</v>
      </c>
      <c r="I79" s="46"/>
    </row>
    <row r="80" spans="1:9" ht="12.75">
      <c r="A80" s="46"/>
      <c r="B80" s="55" t="s">
        <v>201</v>
      </c>
      <c r="C80" s="55"/>
      <c r="D80" s="73">
        <v>2</v>
      </c>
      <c r="E80" s="74">
        <v>5</v>
      </c>
      <c r="F80" s="216">
        <f t="shared" si="3"/>
        <v>10</v>
      </c>
      <c r="G80" s="75">
        <v>27</v>
      </c>
      <c r="H80" s="56">
        <f t="shared" si="4"/>
        <v>270</v>
      </c>
      <c r="I80" s="46"/>
    </row>
    <row r="81" spans="1:9" ht="12.75">
      <c r="A81" s="46"/>
      <c r="B81" s="55" t="s">
        <v>258</v>
      </c>
      <c r="C81" s="55"/>
      <c r="D81" s="73">
        <v>4</v>
      </c>
      <c r="E81" s="74">
        <v>6</v>
      </c>
      <c r="F81" s="216">
        <f t="shared" si="3"/>
        <v>24</v>
      </c>
      <c r="G81" s="75">
        <v>25</v>
      </c>
      <c r="H81" s="56">
        <f t="shared" si="4"/>
        <v>600</v>
      </c>
      <c r="I81" s="46"/>
    </row>
    <row r="82" spans="1:9" ht="13.5" thickBot="1">
      <c r="A82" s="46"/>
      <c r="B82" s="55" t="s">
        <v>257</v>
      </c>
      <c r="C82" s="55"/>
      <c r="D82" s="73">
        <v>8</v>
      </c>
      <c r="E82" s="74">
        <v>0.3</v>
      </c>
      <c r="F82" s="228">
        <f t="shared" si="3"/>
        <v>2.4</v>
      </c>
      <c r="G82" s="75">
        <v>8</v>
      </c>
      <c r="H82" s="57">
        <f t="shared" si="4"/>
        <v>19.2</v>
      </c>
      <c r="I82" s="46"/>
    </row>
    <row r="83" spans="1:9" ht="12.75">
      <c r="A83" s="46"/>
      <c r="B83" s="55"/>
      <c r="C83" s="55"/>
      <c r="D83" s="48"/>
      <c r="E83" s="48"/>
      <c r="F83" s="58"/>
      <c r="G83" s="48"/>
      <c r="H83" s="69"/>
      <c r="I83" s="46"/>
    </row>
    <row r="84" spans="1:9" ht="12.75">
      <c r="A84" s="46"/>
      <c r="B84" s="52" t="s">
        <v>35</v>
      </c>
      <c r="C84" s="52"/>
      <c r="D84" s="48"/>
      <c r="E84" s="48"/>
      <c r="F84" s="158">
        <f>SUM(F77:F82)</f>
        <v>63.746</v>
      </c>
      <c r="G84" s="102">
        <f>H84/F84</f>
        <v>24.909013898911304</v>
      </c>
      <c r="H84" s="56">
        <f>SUM(H77:H83)</f>
        <v>1587.8500000000001</v>
      </c>
      <c r="I84" s="46"/>
    </row>
    <row r="85" spans="1:9" ht="13.5" thickBot="1">
      <c r="A85" s="46"/>
      <c r="B85" s="55" t="s">
        <v>259</v>
      </c>
      <c r="C85" s="55"/>
      <c r="D85" s="48"/>
      <c r="E85" s="48"/>
      <c r="F85" s="273">
        <v>-9</v>
      </c>
      <c r="G85" s="273">
        <v>25</v>
      </c>
      <c r="H85" s="57">
        <f t="shared" si="4"/>
        <v>-225</v>
      </c>
      <c r="I85" s="46"/>
    </row>
    <row r="86" spans="1:9" ht="12.75">
      <c r="A86" s="46"/>
      <c r="B86" s="55"/>
      <c r="C86" s="55"/>
      <c r="D86" s="48"/>
      <c r="E86" s="48"/>
      <c r="F86" s="48"/>
      <c r="G86" s="48"/>
      <c r="H86" s="69"/>
      <c r="I86" s="46"/>
    </row>
    <row r="87" spans="1:9" ht="12.75">
      <c r="A87" s="46"/>
      <c r="B87" s="52" t="s">
        <v>66</v>
      </c>
      <c r="C87" s="55"/>
      <c r="D87" s="48"/>
      <c r="E87" s="48"/>
      <c r="F87" s="291">
        <f>F84+F85</f>
        <v>54.746</v>
      </c>
      <c r="G87" s="86">
        <f>H87/F87</f>
        <v>24.89405618675337</v>
      </c>
      <c r="H87" s="56">
        <f>SUM(H84:H85)</f>
        <v>1362.8500000000001</v>
      </c>
      <c r="I87" s="46"/>
    </row>
    <row r="88" spans="1:9" ht="12.75">
      <c r="A88" s="46"/>
      <c r="B88" s="55"/>
      <c r="C88" s="55"/>
      <c r="D88" s="48"/>
      <c r="E88" s="48"/>
      <c r="F88" s="48"/>
      <c r="G88" s="48"/>
      <c r="H88" s="48"/>
      <c r="I88" s="46"/>
    </row>
    <row r="89" spans="1:9" ht="25.5">
      <c r="A89" s="46"/>
      <c r="B89" s="52" t="s">
        <v>262</v>
      </c>
      <c r="C89" s="52" t="s">
        <v>52</v>
      </c>
      <c r="D89" s="65" t="s">
        <v>4</v>
      </c>
      <c r="E89" s="65" t="s">
        <v>3</v>
      </c>
      <c r="F89" s="49" t="s">
        <v>0</v>
      </c>
      <c r="G89" s="53" t="s">
        <v>130</v>
      </c>
      <c r="H89" s="54" t="s">
        <v>2</v>
      </c>
      <c r="I89" s="46"/>
    </row>
    <row r="90" spans="1:9" ht="12.75">
      <c r="A90" s="46"/>
      <c r="B90" s="52"/>
      <c r="C90" s="52"/>
      <c r="D90" s="65"/>
      <c r="E90" s="65"/>
      <c r="F90" s="49"/>
      <c r="G90" s="53"/>
      <c r="H90" s="54"/>
      <c r="I90" s="46"/>
    </row>
    <row r="91" spans="1:9" ht="12.75">
      <c r="A91" s="46"/>
      <c r="B91" s="239" t="s">
        <v>265</v>
      </c>
      <c r="C91" s="343">
        <v>2</v>
      </c>
      <c r="D91" s="277">
        <f>C72*2</f>
        <v>13.91</v>
      </c>
      <c r="E91" s="278">
        <f>Gewichte!C72</f>
        <v>0.1</v>
      </c>
      <c r="F91" s="185">
        <f>C91*D91*E91</f>
        <v>2.782</v>
      </c>
      <c r="G91" s="340">
        <v>25</v>
      </c>
      <c r="H91" s="279">
        <f>F91*G91</f>
        <v>69.55</v>
      </c>
      <c r="I91" s="46"/>
    </row>
    <row r="92" spans="1:9" ht="12.75">
      <c r="A92" s="46"/>
      <c r="B92" s="55" t="s">
        <v>199</v>
      </c>
      <c r="C92" s="55"/>
      <c r="D92" s="216">
        <f>C72*2</f>
        <v>13.91</v>
      </c>
      <c r="E92" s="77">
        <f>Gewichte!C84</f>
        <v>0.181</v>
      </c>
      <c r="F92" s="216">
        <f>D92*E92</f>
        <v>2.51771</v>
      </c>
      <c r="G92" s="340">
        <v>25</v>
      </c>
      <c r="H92" s="56">
        <f>F92*G92</f>
        <v>62.942750000000004</v>
      </c>
      <c r="I92" s="46"/>
    </row>
    <row r="93" spans="1:11" ht="12.75">
      <c r="A93" s="46"/>
      <c r="B93" s="55" t="s">
        <v>270</v>
      </c>
      <c r="C93" s="84">
        <v>4</v>
      </c>
      <c r="D93" s="216">
        <f>D92</f>
        <v>13.91</v>
      </c>
      <c r="E93" s="77">
        <f>Gewichte!C74</f>
        <v>0.114</v>
      </c>
      <c r="F93" s="216">
        <f>C93*D93*E93</f>
        <v>6.342960000000001</v>
      </c>
      <c r="G93" s="340">
        <v>25</v>
      </c>
      <c r="H93" s="56">
        <f>F93*G93</f>
        <v>158.574</v>
      </c>
      <c r="I93" s="46"/>
      <c r="K93" s="3"/>
    </row>
    <row r="94" spans="1:11" ht="12.75">
      <c r="A94" s="46"/>
      <c r="B94" s="55"/>
      <c r="C94" s="209"/>
      <c r="D94" s="225"/>
      <c r="E94" s="64"/>
      <c r="F94" s="225"/>
      <c r="G94" s="341"/>
      <c r="H94" s="56"/>
      <c r="I94" s="46"/>
      <c r="K94" s="3"/>
    </row>
    <row r="95" spans="1:11" ht="12.75">
      <c r="A95" s="46"/>
      <c r="B95" s="99" t="s">
        <v>197</v>
      </c>
      <c r="C95" s="209"/>
      <c r="D95" s="216"/>
      <c r="E95" s="64"/>
      <c r="F95" s="222">
        <f>F87+F92+F93+F94</f>
        <v>63.60667</v>
      </c>
      <c r="G95" s="341"/>
      <c r="H95" s="56"/>
      <c r="I95" s="46"/>
      <c r="K95" s="3"/>
    </row>
    <row r="96" spans="1:9" ht="12.75">
      <c r="A96" s="46"/>
      <c r="B96" s="55" t="s">
        <v>327</v>
      </c>
      <c r="C96" s="55"/>
      <c r="D96" s="216">
        <f>D92</f>
        <v>13.91</v>
      </c>
      <c r="E96" s="77">
        <f>Gewichte!C86</f>
        <v>0.28</v>
      </c>
      <c r="F96" s="342">
        <f>D96*E96</f>
        <v>3.8948000000000005</v>
      </c>
      <c r="G96" s="313">
        <v>25</v>
      </c>
      <c r="H96" s="56">
        <f>F96*G96</f>
        <v>97.37000000000002</v>
      </c>
      <c r="I96" s="46"/>
    </row>
    <row r="97" spans="1:9" ht="13.5" thickBot="1">
      <c r="A97" s="46"/>
      <c r="B97" s="55" t="s">
        <v>37</v>
      </c>
      <c r="C97" s="55"/>
      <c r="D97" s="216">
        <f>D92</f>
        <v>13.91</v>
      </c>
      <c r="E97" s="77">
        <f>Gewichte!C87</f>
        <v>0.45</v>
      </c>
      <c r="F97" s="216">
        <f>D97*E97</f>
        <v>6.2595</v>
      </c>
      <c r="G97" s="313">
        <v>25</v>
      </c>
      <c r="H97" s="57">
        <f>F97*G97</f>
        <v>156.4875</v>
      </c>
      <c r="I97" s="46"/>
    </row>
    <row r="98" spans="1:9" ht="12.75">
      <c r="A98" s="46"/>
      <c r="B98" s="55"/>
      <c r="C98" s="55"/>
      <c r="D98" s="48"/>
      <c r="E98" s="48"/>
      <c r="F98" s="45"/>
      <c r="G98" s="48"/>
      <c r="H98" s="59"/>
      <c r="I98" s="46"/>
    </row>
    <row r="99" spans="1:9" ht="12.75">
      <c r="A99" s="46"/>
      <c r="B99" s="52" t="str">
        <f>B89</f>
        <v>Bespannung &amp; Lackierung (beide)</v>
      </c>
      <c r="C99" s="52"/>
      <c r="D99" s="48"/>
      <c r="E99" s="48"/>
      <c r="F99" s="222">
        <f>F92+F93+F94+F96+F97</f>
        <v>19.01497</v>
      </c>
      <c r="G99" s="102">
        <f>H99/F99</f>
        <v>28.65764447695684</v>
      </c>
      <c r="H99" s="56">
        <f>SUM(H91:H98)</f>
        <v>544.92425</v>
      </c>
      <c r="I99" s="46"/>
    </row>
    <row r="100" spans="1:9" ht="12.75">
      <c r="A100" s="46"/>
      <c r="B100" s="52"/>
      <c r="C100" s="52"/>
      <c r="D100" s="48"/>
      <c r="E100" s="48"/>
      <c r="F100" s="70"/>
      <c r="G100" s="64"/>
      <c r="H100" s="48"/>
      <c r="I100" s="46"/>
    </row>
    <row r="101" spans="1:9" ht="12.75">
      <c r="A101" s="46"/>
      <c r="B101" s="52" t="s">
        <v>59</v>
      </c>
      <c r="C101" s="52"/>
      <c r="D101" s="48"/>
      <c r="E101" s="48"/>
      <c r="F101" s="222">
        <f>F95+F96+F97</f>
        <v>73.76097</v>
      </c>
      <c r="G101" s="83"/>
      <c r="H101" s="48"/>
      <c r="I101" s="46"/>
    </row>
    <row r="102" spans="1:11" ht="12.75">
      <c r="A102" s="46"/>
      <c r="B102" s="55" t="s">
        <v>60</v>
      </c>
      <c r="C102" s="55"/>
      <c r="D102" s="48"/>
      <c r="E102" s="48"/>
      <c r="F102" s="49"/>
      <c r="G102" s="86">
        <f>(H87+H99)/F101</f>
        <v>25.864278221937703</v>
      </c>
      <c r="H102" s="56"/>
      <c r="I102" s="46"/>
      <c r="K102" s="1"/>
    </row>
    <row r="103" spans="1:9" ht="12.75">
      <c r="A103" s="46"/>
      <c r="B103" s="55" t="s">
        <v>54</v>
      </c>
      <c r="C103" s="55"/>
      <c r="D103" s="48"/>
      <c r="E103" s="48"/>
      <c r="F103" s="48"/>
      <c r="G103" s="86">
        <f>G102+Abmessungen!B21+Abmessungen!B36</f>
        <v>550.8642782219376</v>
      </c>
      <c r="H103" s="56">
        <f>F101*G103</f>
        <v>40632.2835</v>
      </c>
      <c r="I103" s="46"/>
    </row>
    <row r="104" spans="1:9" ht="12.75">
      <c r="A104" s="46"/>
      <c r="B104" s="55"/>
      <c r="C104" s="55"/>
      <c r="D104" s="48"/>
      <c r="E104" s="48"/>
      <c r="F104" s="48"/>
      <c r="G104" s="48"/>
      <c r="H104" s="48"/>
      <c r="I104" s="46"/>
    </row>
    <row r="105" spans="1:9" ht="13.5" thickBot="1">
      <c r="A105" s="46"/>
      <c r="B105" s="71"/>
      <c r="C105" s="71"/>
      <c r="D105" s="72"/>
      <c r="E105" s="72"/>
      <c r="F105" s="72"/>
      <c r="G105" s="72"/>
      <c r="H105" s="72"/>
      <c r="I105" s="46"/>
    </row>
    <row r="106" spans="1:9" ht="15.75">
      <c r="A106" s="46"/>
      <c r="B106" s="87" t="s">
        <v>61</v>
      </c>
      <c r="C106" s="88"/>
      <c r="D106" s="89"/>
      <c r="E106" s="89"/>
      <c r="F106" s="95"/>
      <c r="G106" s="90"/>
      <c r="H106" s="72"/>
      <c r="I106" s="46"/>
    </row>
    <row r="107" spans="1:9" ht="12.75">
      <c r="A107" s="46"/>
      <c r="B107" s="96" t="s">
        <v>0</v>
      </c>
      <c r="C107" s="52"/>
      <c r="D107" s="48"/>
      <c r="E107" s="48"/>
      <c r="F107" s="86">
        <f>F66+F101</f>
        <v>487.37296999999995</v>
      </c>
      <c r="G107" s="92"/>
      <c r="H107" s="72"/>
      <c r="I107" s="46"/>
    </row>
    <row r="108" spans="1:9" ht="12.75">
      <c r="A108" s="46"/>
      <c r="B108" s="91" t="s">
        <v>62</v>
      </c>
      <c r="C108" s="85">
        <f>C10+C72</f>
        <v>42.955000000000005</v>
      </c>
      <c r="D108" s="48"/>
      <c r="E108" s="48"/>
      <c r="F108" s="60"/>
      <c r="G108" s="92"/>
      <c r="H108" s="72"/>
      <c r="I108" s="46"/>
    </row>
    <row r="109" spans="1:9" ht="12.75">
      <c r="A109" s="46"/>
      <c r="B109" s="91" t="s">
        <v>63</v>
      </c>
      <c r="C109" s="229">
        <f>(C108/6.452)*100</f>
        <v>665.7625542467453</v>
      </c>
      <c r="D109" s="48"/>
      <c r="E109" s="48"/>
      <c r="F109" s="60"/>
      <c r="G109" s="92"/>
      <c r="H109" s="72"/>
      <c r="I109" s="46"/>
    </row>
    <row r="110" spans="1:9" ht="12.75">
      <c r="A110" s="46"/>
      <c r="B110" s="91" t="s">
        <v>64</v>
      </c>
      <c r="C110" s="229">
        <f>F107/C108</f>
        <v>11.346128972180185</v>
      </c>
      <c r="D110" s="48"/>
      <c r="E110" s="48"/>
      <c r="F110" s="60"/>
      <c r="G110" s="92"/>
      <c r="H110" s="72"/>
      <c r="I110" s="46"/>
    </row>
    <row r="111" spans="1:14" ht="13.5" thickBot="1">
      <c r="A111" s="46"/>
      <c r="B111" s="93" t="s">
        <v>54</v>
      </c>
      <c r="C111" s="62"/>
      <c r="D111" s="62"/>
      <c r="E111" s="62"/>
      <c r="F111" s="62"/>
      <c r="G111" s="94">
        <f>(H68+H103)/F107</f>
        <v>440.468217800425</v>
      </c>
      <c r="H111" s="72"/>
      <c r="I111" s="46"/>
      <c r="N111" s="1"/>
    </row>
    <row r="112" spans="1:14" ht="12.75">
      <c r="A112" s="46"/>
      <c r="B112" s="46"/>
      <c r="C112" s="46"/>
      <c r="D112" s="46"/>
      <c r="E112" s="46"/>
      <c r="F112" s="46"/>
      <c r="G112" s="46"/>
      <c r="H112" s="46"/>
      <c r="I112" s="46"/>
      <c r="N112" s="1"/>
    </row>
    <row r="113" ht="12.75">
      <c r="N113" s="1"/>
    </row>
    <row r="118" spans="11:15" ht="12.75">
      <c r="K118" s="1"/>
      <c r="N118" s="1"/>
      <c r="O118" s="23"/>
    </row>
    <row r="119" ht="12.75">
      <c r="N119" s="1"/>
    </row>
    <row r="120" ht="12.75">
      <c r="N120" s="1"/>
    </row>
    <row r="121" ht="12.75">
      <c r="K121" s="28"/>
    </row>
    <row r="123" ht="12.75">
      <c r="N123" s="1"/>
    </row>
    <row r="124" ht="12.75">
      <c r="N124" s="1"/>
    </row>
    <row r="125" spans="13:14" ht="12.75">
      <c r="M125" s="1"/>
      <c r="N125" s="1"/>
    </row>
    <row r="128" spans="11:15" ht="12.75">
      <c r="K128" s="1"/>
      <c r="O128" s="25"/>
    </row>
    <row r="129" spans="11:15" ht="12.75">
      <c r="K129" s="1"/>
      <c r="O129" s="25"/>
    </row>
  </sheetData>
  <mergeCells count="1">
    <mergeCell ref="C9:G9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9"/>
  <sheetViews>
    <sheetView workbookViewId="0" topLeftCell="A40">
      <selection activeCell="E27" sqref="E27"/>
    </sheetView>
  </sheetViews>
  <sheetFormatPr defaultColWidth="11.421875" defaultRowHeight="12.75"/>
  <cols>
    <col min="1" max="1" width="52.28125" style="0" customWidth="1"/>
    <col min="2" max="2" width="12.421875" style="46" customWidth="1"/>
  </cols>
  <sheetData>
    <row r="2" spans="1:2" ht="12.75">
      <c r="A2" s="44" t="s">
        <v>127</v>
      </c>
      <c r="B2" s="75" t="s">
        <v>140</v>
      </c>
    </row>
    <row r="3" spans="1:2" ht="12.75">
      <c r="A3" s="48" t="s">
        <v>128</v>
      </c>
      <c r="B3" s="77"/>
    </row>
    <row r="4" spans="1:2" ht="12.75">
      <c r="A4" s="43" t="s">
        <v>132</v>
      </c>
      <c r="B4" s="43"/>
    </row>
    <row r="5" spans="1:2" ht="12.75">
      <c r="A5" s="44" t="s">
        <v>145</v>
      </c>
      <c r="B5" s="182"/>
    </row>
    <row r="6" spans="1:2" ht="12.75">
      <c r="A6" s="130" t="s">
        <v>144</v>
      </c>
      <c r="B6" s="179"/>
    </row>
    <row r="7" spans="1:2" ht="12.75">
      <c r="A7" s="195"/>
      <c r="B7" s="159"/>
    </row>
    <row r="8" spans="1:2" ht="15.75">
      <c r="A8" s="296" t="str">
        <f>Schwerpunktrechnung!B2</f>
        <v>Signorina Elettra</v>
      </c>
      <c r="B8" s="235">
        <f>Schwerpunktrechnung!E2</f>
        <v>40570</v>
      </c>
    </row>
    <row r="10" spans="1:3" ht="15.75">
      <c r="A10" s="160" t="s">
        <v>134</v>
      </c>
      <c r="B10" s="72"/>
      <c r="C10" s="3"/>
    </row>
    <row r="11" spans="1:3" ht="12.75">
      <c r="A11" s="9"/>
      <c r="B11" s="72"/>
      <c r="C11" s="3"/>
    </row>
    <row r="12" spans="1:3" ht="12.75">
      <c r="A12" s="161" t="s">
        <v>31</v>
      </c>
      <c r="B12" s="158">
        <f>((B34+B35)/2)*B27*0.0001</f>
        <v>42.955000000000005</v>
      </c>
      <c r="C12" s="3"/>
    </row>
    <row r="13" spans="1:3" ht="12.75">
      <c r="A13" s="161" t="s">
        <v>168</v>
      </c>
      <c r="B13" s="102">
        <f>B12/Gewichte!C102</f>
        <v>665.9689922480621</v>
      </c>
      <c r="C13" s="3"/>
    </row>
    <row r="14" spans="1:3" ht="12.75">
      <c r="A14" s="161" t="s">
        <v>32</v>
      </c>
      <c r="B14" s="158">
        <f>(((B39+B40)/2)*B42*0.0001)+(((B39+B40)/2)*B43*0.0001)</f>
        <v>6.955</v>
      </c>
      <c r="C14" s="3"/>
    </row>
    <row r="15" spans="1:3" ht="12.75">
      <c r="A15" s="161" t="s">
        <v>15</v>
      </c>
      <c r="B15" s="183">
        <f>B14/B12</f>
        <v>0.16191363054359212</v>
      </c>
      <c r="C15" s="3"/>
    </row>
    <row r="16" spans="1:3" ht="12.75">
      <c r="A16" s="161" t="s">
        <v>29</v>
      </c>
      <c r="B16" s="184">
        <f>((B54+B55)/2)*B47*0.0001</f>
        <v>5.78</v>
      </c>
      <c r="C16" s="3"/>
    </row>
    <row r="17" spans="1:3" ht="12.75">
      <c r="A17" s="161" t="s">
        <v>161</v>
      </c>
      <c r="B17" s="184">
        <f>((B57+B58)/2)*B59*2*0.0001</f>
        <v>4.3500000000000005</v>
      </c>
      <c r="C17" s="3"/>
    </row>
    <row r="18" spans="1:3" ht="12.75">
      <c r="A18" s="161" t="s">
        <v>30</v>
      </c>
      <c r="B18" s="184">
        <f>B16+B17</f>
        <v>10.13</v>
      </c>
      <c r="C18" s="3"/>
    </row>
    <row r="19" spans="1:3" ht="12.75">
      <c r="A19" s="161" t="s">
        <v>17</v>
      </c>
      <c r="B19" s="183">
        <f>B17/B18</f>
        <v>0.42941757156959526</v>
      </c>
      <c r="C19" s="3"/>
    </row>
    <row r="20" spans="1:3" ht="12.75">
      <c r="A20" s="161" t="s">
        <v>16</v>
      </c>
      <c r="B20" s="183">
        <f>B18/B12</f>
        <v>0.2358281922942614</v>
      </c>
      <c r="C20" s="3"/>
    </row>
    <row r="21" spans="1:3" ht="12.75">
      <c r="A21" s="161" t="s">
        <v>304</v>
      </c>
      <c r="B21" s="75">
        <v>265</v>
      </c>
      <c r="C21" s="3"/>
    </row>
    <row r="22" spans="1:3" ht="12.75">
      <c r="A22" s="161" t="s">
        <v>5</v>
      </c>
      <c r="B22" s="75">
        <v>457</v>
      </c>
      <c r="C22" s="3"/>
    </row>
    <row r="23" spans="1:3" ht="12.75">
      <c r="A23" s="161" t="s">
        <v>7</v>
      </c>
      <c r="B23" s="181">
        <f>B12/B27*10000</f>
        <v>275.00000000000006</v>
      </c>
      <c r="C23" s="3"/>
    </row>
    <row r="24" spans="1:3" ht="12.75">
      <c r="A24" s="161" t="s">
        <v>184</v>
      </c>
      <c r="B24" s="102">
        <f>(2*B12)+(2*B18)+B66+B67</f>
        <v>147.21</v>
      </c>
      <c r="C24" s="3"/>
    </row>
    <row r="25" spans="1:3" ht="12.75">
      <c r="A25" s="6"/>
      <c r="B25" s="72"/>
      <c r="C25" s="3"/>
    </row>
    <row r="26" spans="1:3" ht="12.75">
      <c r="A26" s="115" t="s">
        <v>6</v>
      </c>
      <c r="B26" s="48"/>
      <c r="C26" s="37"/>
    </row>
    <row r="27" spans="1:3" ht="12.75">
      <c r="A27" s="43" t="s">
        <v>8</v>
      </c>
      <c r="B27" s="102">
        <f>B29+B28</f>
        <v>1562</v>
      </c>
      <c r="C27" s="4"/>
    </row>
    <row r="28" spans="1:3" ht="12.75">
      <c r="A28" s="43" t="s">
        <v>223</v>
      </c>
      <c r="B28" s="164">
        <v>792</v>
      </c>
      <c r="C28" s="4"/>
    </row>
    <row r="29" spans="1:3" ht="12.75">
      <c r="A29" s="43" t="s">
        <v>224</v>
      </c>
      <c r="B29" s="164">
        <v>770</v>
      </c>
      <c r="C29" s="4"/>
    </row>
    <row r="30" spans="1:3" ht="12.75">
      <c r="A30" s="162" t="s">
        <v>151</v>
      </c>
      <c r="B30" s="194" t="s">
        <v>183</v>
      </c>
      <c r="C30" s="4"/>
    </row>
    <row r="31" spans="1:3" ht="12.75">
      <c r="A31" s="162" t="s">
        <v>19</v>
      </c>
      <c r="B31" s="192">
        <v>0.18</v>
      </c>
      <c r="C31" s="4"/>
    </row>
    <row r="32" spans="1:3" ht="12.75">
      <c r="A32" s="162" t="s">
        <v>365</v>
      </c>
      <c r="B32" s="158">
        <f>B34*B31</f>
        <v>57.599999999999994</v>
      </c>
      <c r="C32" s="4"/>
    </row>
    <row r="33" spans="1:3" ht="12.75">
      <c r="A33" s="162" t="s">
        <v>366</v>
      </c>
      <c r="B33" s="158">
        <f>B27/B38</f>
        <v>5.68</v>
      </c>
      <c r="C33" s="4"/>
    </row>
    <row r="34" spans="1:3" ht="12.75">
      <c r="A34" s="43" t="s">
        <v>11</v>
      </c>
      <c r="B34" s="102">
        <f>B36+B39</f>
        <v>320</v>
      </c>
      <c r="C34" s="4"/>
    </row>
    <row r="35" spans="1:3" ht="12.75">
      <c r="A35" s="43" t="s">
        <v>9</v>
      </c>
      <c r="B35" s="102">
        <f>B37+B40</f>
        <v>230</v>
      </c>
      <c r="C35" s="4"/>
    </row>
    <row r="36" spans="1:3" ht="12.75">
      <c r="A36" s="43" t="s">
        <v>222</v>
      </c>
      <c r="B36" s="164">
        <v>260</v>
      </c>
      <c r="C36" s="4"/>
    </row>
    <row r="37" spans="1:3" ht="12.75">
      <c r="A37" s="43" t="s">
        <v>10</v>
      </c>
      <c r="B37" s="234">
        <v>190</v>
      </c>
      <c r="C37" s="4"/>
    </row>
    <row r="38" spans="1:3" ht="12.75">
      <c r="A38" s="43" t="s">
        <v>7</v>
      </c>
      <c r="B38" s="102">
        <f>(B34+B35)/2</f>
        <v>275</v>
      </c>
      <c r="C38" s="4"/>
    </row>
    <row r="39" spans="1:3" ht="12.75">
      <c r="A39" s="162" t="s">
        <v>12</v>
      </c>
      <c r="B39" s="164">
        <v>60</v>
      </c>
      <c r="C39" s="4"/>
    </row>
    <row r="40" spans="1:3" ht="12.75">
      <c r="A40" s="162" t="s">
        <v>13</v>
      </c>
      <c r="B40" s="164">
        <v>40</v>
      </c>
      <c r="C40" s="4"/>
    </row>
    <row r="41" spans="1:3" ht="12.75">
      <c r="A41" s="162" t="s">
        <v>14</v>
      </c>
      <c r="B41" s="102">
        <f>((B39+B40)/2)*1.1</f>
        <v>55.00000000000001</v>
      </c>
      <c r="C41" s="4"/>
    </row>
    <row r="42" spans="1:3" ht="12.75">
      <c r="A42" s="162" t="s">
        <v>147</v>
      </c>
      <c r="B42" s="164">
        <v>711</v>
      </c>
      <c r="C42" s="4"/>
    </row>
    <row r="43" spans="1:3" ht="12.75">
      <c r="A43" s="162" t="s">
        <v>146</v>
      </c>
      <c r="B43" s="189">
        <v>680</v>
      </c>
      <c r="C43" s="4"/>
    </row>
    <row r="44" spans="1:3" ht="12.75">
      <c r="A44" s="10"/>
      <c r="B44" s="166"/>
      <c r="C44" s="4"/>
    </row>
    <row r="45" spans="1:3" ht="12.75">
      <c r="A45" s="10"/>
      <c r="B45" s="166"/>
      <c r="C45" s="4"/>
    </row>
    <row r="46" spans="1:3" ht="12.75">
      <c r="A46" s="115" t="s">
        <v>21</v>
      </c>
      <c r="B46" s="81"/>
      <c r="C46" s="4"/>
    </row>
    <row r="47" spans="1:3" ht="12.75">
      <c r="A47" s="43" t="s">
        <v>225</v>
      </c>
      <c r="B47" s="164">
        <v>680</v>
      </c>
      <c r="C47" s="4"/>
    </row>
    <row r="48" spans="1:3" ht="12.75">
      <c r="A48" s="162" t="s">
        <v>18</v>
      </c>
      <c r="B48" s="194" t="s">
        <v>22</v>
      </c>
      <c r="C48" s="4"/>
    </row>
    <row r="49" spans="1:3" ht="12.75">
      <c r="A49" s="162" t="s">
        <v>19</v>
      </c>
      <c r="B49" s="165">
        <v>0.1</v>
      </c>
      <c r="C49" s="4"/>
    </row>
    <row r="50" spans="1:3" ht="12.75">
      <c r="A50" s="162" t="s">
        <v>20</v>
      </c>
      <c r="B50" s="158">
        <f>B51*B49</f>
        <v>17.5</v>
      </c>
      <c r="C50" s="4"/>
    </row>
    <row r="51" spans="1:3" ht="12.75">
      <c r="A51" s="43" t="s">
        <v>23</v>
      </c>
      <c r="B51" s="102">
        <f>B54+B57</f>
        <v>175</v>
      </c>
      <c r="C51" s="4"/>
    </row>
    <row r="52" spans="1:3" ht="12.75">
      <c r="A52" s="43" t="s">
        <v>24</v>
      </c>
      <c r="B52" s="102">
        <f>B55+B58</f>
        <v>140</v>
      </c>
      <c r="C52" s="4"/>
    </row>
    <row r="53" spans="1:3" ht="12.75">
      <c r="A53" s="43"/>
      <c r="B53" s="78"/>
      <c r="C53" s="4"/>
    </row>
    <row r="54" spans="1:3" ht="12.75">
      <c r="A54" s="162" t="s">
        <v>25</v>
      </c>
      <c r="B54" s="164">
        <v>95</v>
      </c>
      <c r="C54" s="4"/>
    </row>
    <row r="55" spans="1:3" ht="12.75">
      <c r="A55" s="162" t="s">
        <v>26</v>
      </c>
      <c r="B55" s="164">
        <v>75</v>
      </c>
      <c r="C55" s="4"/>
    </row>
    <row r="56" spans="1:3" ht="12.75">
      <c r="A56" s="162"/>
      <c r="B56" s="78"/>
      <c r="C56" s="4"/>
    </row>
    <row r="57" spans="1:3" ht="12.75">
      <c r="A57" s="43" t="s">
        <v>27</v>
      </c>
      <c r="B57" s="164">
        <v>80</v>
      </c>
      <c r="C57" s="4"/>
    </row>
    <row r="58" spans="1:3" ht="12.75">
      <c r="A58" s="162" t="s">
        <v>28</v>
      </c>
      <c r="B58" s="164">
        <v>65</v>
      </c>
      <c r="C58" s="4"/>
    </row>
    <row r="59" spans="1:3" ht="12.75">
      <c r="A59" s="162" t="s">
        <v>148</v>
      </c>
      <c r="B59" s="164">
        <v>300</v>
      </c>
      <c r="C59" s="4"/>
    </row>
    <row r="60" spans="1:3" ht="12.75">
      <c r="A60" s="3"/>
      <c r="B60" s="167"/>
      <c r="C60" s="4"/>
    </row>
    <row r="61" spans="1:3" ht="12.75">
      <c r="A61" s="115" t="s">
        <v>73</v>
      </c>
      <c r="B61" s="81"/>
      <c r="C61" s="40"/>
    </row>
    <row r="62" spans="1:3" ht="12.75">
      <c r="A62" s="43" t="s">
        <v>74</v>
      </c>
      <c r="B62" s="164">
        <v>1030</v>
      </c>
      <c r="C62" s="38"/>
    </row>
    <row r="63" spans="1:3" ht="12.75">
      <c r="A63" s="43" t="s">
        <v>76</v>
      </c>
      <c r="B63" s="164">
        <v>120</v>
      </c>
      <c r="C63" s="3"/>
    </row>
    <row r="64" spans="1:3" ht="12.75">
      <c r="A64" s="43" t="s">
        <v>75</v>
      </c>
      <c r="B64" s="164">
        <v>70</v>
      </c>
      <c r="C64" s="4"/>
    </row>
    <row r="65" spans="1:3" ht="12.75">
      <c r="A65" s="43" t="s">
        <v>78</v>
      </c>
      <c r="B65" s="185">
        <f>(B63*B62)/10000</f>
        <v>12.36</v>
      </c>
      <c r="C65" s="4"/>
    </row>
    <row r="66" spans="1:3" ht="12.75">
      <c r="A66" s="43" t="s">
        <v>82</v>
      </c>
      <c r="B66" s="185">
        <f>(((B63+B64)*2)*B62)/10000</f>
        <v>39.14</v>
      </c>
      <c r="C66" s="4"/>
    </row>
    <row r="67" spans="1:3" ht="12.75">
      <c r="A67" s="43" t="s">
        <v>85</v>
      </c>
      <c r="B67" s="168">
        <v>1.9</v>
      </c>
      <c r="C67" s="4"/>
    </row>
    <row r="68" spans="1:3" ht="12.75">
      <c r="A68" s="162" t="s">
        <v>314</v>
      </c>
      <c r="B68" s="193">
        <v>1040</v>
      </c>
      <c r="C68" s="4"/>
    </row>
    <row r="69" spans="1:3" ht="12.75">
      <c r="A69" s="3"/>
      <c r="B69" s="72"/>
      <c r="C69" s="3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73"/>
  <sheetViews>
    <sheetView workbookViewId="0" topLeftCell="A7">
      <selection activeCell="J13" sqref="J13"/>
    </sheetView>
  </sheetViews>
  <sheetFormatPr defaultColWidth="11.421875" defaultRowHeight="12.75"/>
  <cols>
    <col min="1" max="1" width="10.57421875" style="0" customWidth="1"/>
    <col min="2" max="2" width="43.00390625" style="0" customWidth="1"/>
    <col min="3" max="3" width="12.28125" style="0" customWidth="1"/>
    <col min="4" max="4" width="7.57421875" style="0" customWidth="1"/>
    <col min="5" max="5" width="6.28125" style="0" customWidth="1"/>
    <col min="6" max="6" width="7.57421875" style="0" customWidth="1"/>
    <col min="7" max="7" width="8.57421875" style="0" customWidth="1"/>
    <col min="8" max="8" width="8.7109375" style="0" customWidth="1"/>
    <col min="9" max="9" width="8.140625" style="0" customWidth="1"/>
    <col min="10" max="10" width="9.00390625" style="0" customWidth="1"/>
    <col min="11" max="11" width="9.421875" style="0" customWidth="1"/>
    <col min="12" max="12" width="33.140625" style="0" customWidth="1"/>
    <col min="13" max="13" width="5.140625" style="0" customWidth="1"/>
    <col min="14" max="14" width="7.57421875" style="0" customWidth="1"/>
    <col min="15" max="15" width="7.8515625" style="0" customWidth="1"/>
    <col min="16" max="16" width="10.421875" style="0" customWidth="1"/>
  </cols>
  <sheetData>
    <row r="2" spans="2:3" ht="12.75">
      <c r="B2" s="44" t="s">
        <v>127</v>
      </c>
      <c r="C2" s="75" t="s">
        <v>140</v>
      </c>
    </row>
    <row r="3" spans="2:3" ht="12.75">
      <c r="B3" s="48" t="s">
        <v>128</v>
      </c>
      <c r="C3" s="77"/>
    </row>
    <row r="4" spans="2:3" ht="12.75">
      <c r="B4" s="43" t="s">
        <v>132</v>
      </c>
      <c r="C4" s="43"/>
    </row>
    <row r="5" spans="2:3" ht="12.75">
      <c r="B5" s="44" t="s">
        <v>145</v>
      </c>
      <c r="C5" s="182"/>
    </row>
    <row r="6" spans="2:3" ht="12.75">
      <c r="B6" s="130" t="s">
        <v>144</v>
      </c>
      <c r="C6" s="179"/>
    </row>
    <row r="7" ht="13.5" thickBot="1"/>
    <row r="8" ht="13.5" thickBot="1">
      <c r="B8" s="203">
        <f>Schwerpunktrechnung!E2</f>
        <v>40570</v>
      </c>
    </row>
    <row r="10" spans="2:9" ht="25.5">
      <c r="B10" s="117" t="s">
        <v>135</v>
      </c>
      <c r="C10" s="169" t="s">
        <v>98</v>
      </c>
      <c r="D10" s="119" t="s">
        <v>99</v>
      </c>
      <c r="E10" s="119" t="s">
        <v>100</v>
      </c>
      <c r="F10" s="119" t="s">
        <v>74</v>
      </c>
      <c r="G10" s="119" t="s">
        <v>0</v>
      </c>
      <c r="I10" s="15"/>
    </row>
    <row r="11" spans="2:7" ht="12.75">
      <c r="B11" s="43"/>
      <c r="C11" s="170"/>
      <c r="D11" s="43"/>
      <c r="E11" s="43"/>
      <c r="F11" s="43"/>
      <c r="G11" s="43"/>
    </row>
    <row r="12" spans="2:16" ht="12.75">
      <c r="B12" s="43" t="s">
        <v>101</v>
      </c>
      <c r="C12" s="173">
        <v>0.017</v>
      </c>
      <c r="D12" s="336">
        <v>4</v>
      </c>
      <c r="E12" s="336">
        <v>45</v>
      </c>
      <c r="F12" s="336">
        <v>620</v>
      </c>
      <c r="G12" s="158">
        <f aca="true" t="shared" si="0" ref="G12:G17">(C12*D12*E12*F12)/1000</f>
        <v>1.8972</v>
      </c>
      <c r="I12" s="16"/>
      <c r="L12" s="1"/>
      <c r="M12" s="1"/>
      <c r="N12" s="1"/>
      <c r="O12" s="1"/>
      <c r="P12" s="25"/>
    </row>
    <row r="13" spans="2:9" ht="12.75">
      <c r="B13" s="43" t="s">
        <v>102</v>
      </c>
      <c r="C13" s="173">
        <v>0.01</v>
      </c>
      <c r="D13" s="336">
        <v>12</v>
      </c>
      <c r="E13" s="336">
        <v>380</v>
      </c>
      <c r="F13" s="336">
        <v>1400</v>
      </c>
      <c r="G13" s="158">
        <f t="shared" si="0"/>
        <v>63.84</v>
      </c>
      <c r="I13" s="16"/>
    </row>
    <row r="14" spans="2:14" ht="12.75">
      <c r="B14" s="43" t="s">
        <v>103</v>
      </c>
      <c r="C14" s="173">
        <v>0.1</v>
      </c>
      <c r="D14" s="336">
        <v>2</v>
      </c>
      <c r="E14" s="336">
        <v>50</v>
      </c>
      <c r="F14" s="336">
        <v>150</v>
      </c>
      <c r="G14" s="158">
        <f t="shared" si="0"/>
        <v>1.5</v>
      </c>
      <c r="I14" s="16"/>
      <c r="N14" s="1"/>
    </row>
    <row r="15" spans="2:9" ht="12.75">
      <c r="B15" s="43" t="s">
        <v>104</v>
      </c>
      <c r="C15" s="173">
        <v>0.15</v>
      </c>
      <c r="D15" s="336">
        <v>4</v>
      </c>
      <c r="E15" s="336">
        <v>8</v>
      </c>
      <c r="F15" s="336">
        <v>1500</v>
      </c>
      <c r="G15" s="158">
        <f t="shared" si="0"/>
        <v>7.2</v>
      </c>
      <c r="I15" s="16"/>
    </row>
    <row r="16" spans="2:14" ht="12.75">
      <c r="B16" s="43" t="s">
        <v>105</v>
      </c>
      <c r="C16" s="173">
        <v>0.7</v>
      </c>
      <c r="D16" s="336">
        <v>3</v>
      </c>
      <c r="E16" s="336">
        <v>50</v>
      </c>
      <c r="F16" s="336">
        <v>50</v>
      </c>
      <c r="G16" s="158">
        <f t="shared" si="0"/>
        <v>5.249999999999999</v>
      </c>
      <c r="I16" s="16"/>
      <c r="N16" s="1"/>
    </row>
    <row r="17" spans="2:9" ht="12.75">
      <c r="B17" s="43" t="s">
        <v>106</v>
      </c>
      <c r="C17" s="173">
        <v>0.85</v>
      </c>
      <c r="D17" s="336">
        <v>0.6</v>
      </c>
      <c r="E17" s="336">
        <v>100</v>
      </c>
      <c r="F17" s="336">
        <v>100</v>
      </c>
      <c r="G17" s="158">
        <f t="shared" si="0"/>
        <v>5.1</v>
      </c>
      <c r="I17" s="16"/>
    </row>
    <row r="18" spans="2:9" ht="12.75">
      <c r="B18" s="162" t="s">
        <v>202</v>
      </c>
      <c r="C18" s="173">
        <v>0.04</v>
      </c>
      <c r="D18" s="337">
        <v>5</v>
      </c>
      <c r="E18" s="336">
        <v>45</v>
      </c>
      <c r="F18" s="336">
        <v>620</v>
      </c>
      <c r="G18" s="158">
        <f>(C18*D18*E18*F18)/1000</f>
        <v>5.58</v>
      </c>
      <c r="H18" s="14"/>
      <c r="I18" s="16"/>
    </row>
    <row r="19" spans="2:9" ht="12.75">
      <c r="B19" s="43" t="s">
        <v>203</v>
      </c>
      <c r="C19" s="173">
        <v>0.05</v>
      </c>
      <c r="D19" s="337">
        <v>5</v>
      </c>
      <c r="E19" s="336">
        <v>45</v>
      </c>
      <c r="F19" s="336">
        <v>620</v>
      </c>
      <c r="G19" s="158">
        <f>(C19*D19*E19*F19)/1000</f>
        <v>6.975</v>
      </c>
      <c r="H19" s="14"/>
      <c r="I19" s="16"/>
    </row>
    <row r="20" spans="2:9" ht="12.75">
      <c r="B20" s="43" t="s">
        <v>216</v>
      </c>
      <c r="C20" s="173">
        <v>1.6</v>
      </c>
      <c r="D20" s="337">
        <v>3</v>
      </c>
      <c r="E20" s="336">
        <v>12</v>
      </c>
      <c r="F20" s="336">
        <v>520</v>
      </c>
      <c r="G20" s="158">
        <f>(C20*D20*E20*F20)/1000</f>
        <v>29.952000000000005</v>
      </c>
      <c r="H20" s="14"/>
      <c r="I20" s="16"/>
    </row>
    <row r="21" spans="2:9" ht="12.75">
      <c r="B21" s="43"/>
      <c r="C21" s="173"/>
      <c r="D21" s="236"/>
      <c r="E21" s="122"/>
      <c r="F21" s="122"/>
      <c r="G21" s="158"/>
      <c r="H21" s="14"/>
      <c r="I21" s="16"/>
    </row>
    <row r="22" spans="2:9" ht="12.75">
      <c r="B22" s="43"/>
      <c r="C22" s="173"/>
      <c r="D22" s="233" t="s">
        <v>194</v>
      </c>
      <c r="E22" s="163"/>
      <c r="F22" s="163"/>
      <c r="G22" s="172"/>
      <c r="H22" s="14"/>
      <c r="I22" s="16"/>
    </row>
    <row r="23" spans="2:9" ht="12.75">
      <c r="B23" s="43"/>
      <c r="C23" s="173"/>
      <c r="D23" s="171"/>
      <c r="E23" s="163"/>
      <c r="F23" s="163"/>
      <c r="G23" s="172"/>
      <c r="H23" s="14"/>
      <c r="I23" s="16"/>
    </row>
    <row r="24" spans="2:9" ht="12.75">
      <c r="B24" s="43" t="s">
        <v>193</v>
      </c>
      <c r="C24" s="173">
        <v>3.0525</v>
      </c>
      <c r="D24" s="171">
        <v>45</v>
      </c>
      <c r="E24" s="163"/>
      <c r="F24" s="163"/>
      <c r="G24" s="158">
        <f>D24/C24</f>
        <v>14.74201474201474</v>
      </c>
      <c r="H24" s="14"/>
      <c r="I24" s="16"/>
    </row>
    <row r="25" spans="2:9" ht="12.75">
      <c r="B25" s="43" t="s">
        <v>195</v>
      </c>
      <c r="C25" s="173">
        <v>0.85</v>
      </c>
      <c r="D25" s="171">
        <v>225</v>
      </c>
      <c r="E25" s="163"/>
      <c r="F25" s="163"/>
      <c r="G25" s="158">
        <f>D25*C25</f>
        <v>191.25</v>
      </c>
      <c r="H25" s="14"/>
      <c r="I25" s="16"/>
    </row>
    <row r="26" spans="2:9" ht="12.75">
      <c r="B26" s="3"/>
      <c r="C26" s="5"/>
      <c r="D26" s="12"/>
      <c r="E26" s="14"/>
      <c r="F26" s="13"/>
      <c r="G26" s="13"/>
      <c r="H26" s="14"/>
      <c r="I26" s="16"/>
    </row>
    <row r="27" spans="2:9" ht="12.75">
      <c r="B27" s="3"/>
      <c r="C27" s="5"/>
      <c r="D27" s="12"/>
      <c r="E27" s="14"/>
      <c r="F27" s="13"/>
      <c r="G27" s="13"/>
      <c r="H27" s="14"/>
      <c r="I27" s="16"/>
    </row>
    <row r="28" spans="2:9" ht="12.75">
      <c r="B28" s="3"/>
      <c r="C28" s="5"/>
      <c r="D28" s="12"/>
      <c r="E28" s="14"/>
      <c r="F28" s="13"/>
      <c r="G28" s="13"/>
      <c r="H28" s="14"/>
      <c r="I28" s="16"/>
    </row>
    <row r="29" spans="2:9" ht="12.75">
      <c r="B29" s="117" t="s">
        <v>107</v>
      </c>
      <c r="C29" s="169" t="s">
        <v>0</v>
      </c>
      <c r="D29" s="18"/>
      <c r="E29" s="19"/>
      <c r="F29" s="20"/>
      <c r="G29" s="20"/>
      <c r="H29" s="19"/>
      <c r="I29" s="21"/>
    </row>
    <row r="30" spans="2:9" ht="12.75">
      <c r="B30" s="43"/>
      <c r="C30" s="170"/>
      <c r="D30" s="12"/>
      <c r="E30" s="14"/>
      <c r="F30" s="13"/>
      <c r="G30" s="13"/>
      <c r="H30" s="14"/>
      <c r="I30" s="16"/>
    </row>
    <row r="31" spans="2:3" ht="12.75">
      <c r="B31" s="43" t="s">
        <v>108</v>
      </c>
      <c r="C31" s="186">
        <v>8</v>
      </c>
    </row>
    <row r="32" spans="2:3" ht="12.75">
      <c r="B32" s="43" t="s">
        <v>110</v>
      </c>
      <c r="C32" s="186">
        <v>7</v>
      </c>
    </row>
    <row r="33" spans="2:3" ht="12.75">
      <c r="B33" s="43" t="s">
        <v>109</v>
      </c>
      <c r="C33" s="186">
        <v>13</v>
      </c>
    </row>
    <row r="34" spans="2:3" ht="12.75">
      <c r="B34" s="43" t="s">
        <v>117</v>
      </c>
      <c r="C34" s="186">
        <v>15</v>
      </c>
    </row>
    <row r="35" spans="2:3" ht="12.75">
      <c r="B35" s="43" t="s">
        <v>111</v>
      </c>
      <c r="C35" s="186">
        <v>4</v>
      </c>
    </row>
    <row r="36" spans="2:3" ht="12.75">
      <c r="B36" s="43" t="s">
        <v>112</v>
      </c>
      <c r="C36" s="186">
        <v>26</v>
      </c>
    </row>
    <row r="37" spans="2:3" ht="12.75">
      <c r="B37" s="43" t="s">
        <v>113</v>
      </c>
      <c r="C37" s="186">
        <v>12</v>
      </c>
    </row>
    <row r="38" spans="2:3" ht="12.75">
      <c r="B38" s="43" t="s">
        <v>114</v>
      </c>
      <c r="C38" s="186">
        <v>14</v>
      </c>
    </row>
    <row r="39" spans="2:3" ht="12.75">
      <c r="B39" s="43" t="s">
        <v>115</v>
      </c>
      <c r="C39" s="186">
        <v>18</v>
      </c>
    </row>
    <row r="40" spans="2:3" ht="12.75">
      <c r="B40" s="43" t="s">
        <v>116</v>
      </c>
      <c r="C40" s="186">
        <v>21</v>
      </c>
    </row>
    <row r="41" spans="2:3" ht="12.75">
      <c r="B41" s="120" t="s">
        <v>329</v>
      </c>
      <c r="C41" s="186">
        <v>42</v>
      </c>
    </row>
    <row r="42" spans="2:3" ht="12.75">
      <c r="B42" s="43" t="s">
        <v>212</v>
      </c>
      <c r="C42" s="186">
        <v>20</v>
      </c>
    </row>
    <row r="43" spans="2:16" ht="12.75">
      <c r="B43" s="43" t="s">
        <v>221</v>
      </c>
      <c r="C43" s="186">
        <v>26</v>
      </c>
      <c r="H43" s="1"/>
      <c r="L43" s="1"/>
      <c r="M43" s="1"/>
      <c r="N43" s="1"/>
      <c r="O43" s="1"/>
      <c r="P43" s="23"/>
    </row>
    <row r="44" spans="2:8" ht="12.75">
      <c r="B44" s="43" t="s">
        <v>118</v>
      </c>
      <c r="C44" s="186">
        <v>7</v>
      </c>
      <c r="H44" s="1"/>
    </row>
    <row r="45" spans="2:8" ht="12.75">
      <c r="B45" s="43" t="s">
        <v>281</v>
      </c>
      <c r="C45" s="186">
        <v>415</v>
      </c>
      <c r="E45" t="s">
        <v>333</v>
      </c>
      <c r="H45" s="1"/>
    </row>
    <row r="46" spans="2:8" ht="12.75">
      <c r="B46" s="43" t="s">
        <v>331</v>
      </c>
      <c r="C46" s="186">
        <v>330</v>
      </c>
      <c r="E46" t="s">
        <v>358</v>
      </c>
      <c r="H46" s="1"/>
    </row>
    <row r="47" spans="2:8" ht="12.75">
      <c r="B47" s="43" t="s">
        <v>317</v>
      </c>
      <c r="C47" s="186">
        <v>264</v>
      </c>
      <c r="E47" t="s">
        <v>359</v>
      </c>
      <c r="H47" s="1"/>
    </row>
    <row r="48" spans="2:8" ht="12.75">
      <c r="B48" s="162" t="s">
        <v>318</v>
      </c>
      <c r="C48" s="186">
        <v>330</v>
      </c>
      <c r="E48" t="s">
        <v>358</v>
      </c>
      <c r="H48" s="1"/>
    </row>
    <row r="49" spans="2:8" ht="12.75">
      <c r="B49" s="43" t="s">
        <v>319</v>
      </c>
      <c r="C49" s="186">
        <v>410</v>
      </c>
      <c r="H49" s="1"/>
    </row>
    <row r="50" spans="2:8" ht="12.75">
      <c r="B50" s="43" t="s">
        <v>153</v>
      </c>
      <c r="C50" s="204">
        <v>0.39</v>
      </c>
      <c r="H50" s="1"/>
    </row>
    <row r="51" spans="2:8" ht="12.75">
      <c r="B51" s="43" t="s">
        <v>190</v>
      </c>
      <c r="C51" s="204">
        <v>46.5</v>
      </c>
      <c r="H51" s="1"/>
    </row>
    <row r="52" spans="2:3" ht="12.75">
      <c r="B52" s="43" t="s">
        <v>213</v>
      </c>
      <c r="C52" s="232">
        <v>40</v>
      </c>
    </row>
    <row r="53" spans="2:3" ht="12.75">
      <c r="B53" s="43" t="s">
        <v>191</v>
      </c>
      <c r="C53" s="232">
        <v>52</v>
      </c>
    </row>
    <row r="54" spans="2:3" ht="12.75">
      <c r="B54" s="162" t="s">
        <v>283</v>
      </c>
      <c r="C54" s="232">
        <v>337</v>
      </c>
    </row>
    <row r="55" spans="2:3" ht="12.75">
      <c r="B55" s="162" t="s">
        <v>363</v>
      </c>
      <c r="C55" s="232">
        <v>242</v>
      </c>
    </row>
    <row r="56" spans="2:3" ht="12.75">
      <c r="B56" s="162" t="s">
        <v>303</v>
      </c>
      <c r="C56" s="232">
        <v>247</v>
      </c>
    </row>
    <row r="57" spans="2:3" ht="12.75">
      <c r="B57" s="162" t="s">
        <v>371</v>
      </c>
      <c r="C57" s="232">
        <v>210</v>
      </c>
    </row>
    <row r="58" spans="2:3" ht="12.75">
      <c r="B58" s="162" t="s">
        <v>205</v>
      </c>
      <c r="C58" s="232">
        <v>37</v>
      </c>
    </row>
    <row r="59" spans="2:3" ht="12.75">
      <c r="B59" s="162" t="s">
        <v>278</v>
      </c>
      <c r="C59" s="232">
        <v>26</v>
      </c>
    </row>
    <row r="60" spans="2:3" ht="12.75">
      <c r="B60" s="162" t="s">
        <v>279</v>
      </c>
      <c r="C60" s="232">
        <v>34</v>
      </c>
    </row>
    <row r="61" spans="2:3" ht="12.75">
      <c r="B61" s="162" t="s">
        <v>352</v>
      </c>
      <c r="C61" s="232">
        <v>26</v>
      </c>
    </row>
    <row r="62" spans="2:3" ht="12.75">
      <c r="B62" s="162" t="s">
        <v>280</v>
      </c>
      <c r="C62" s="232">
        <v>23</v>
      </c>
    </row>
    <row r="63" spans="2:3" ht="12.75">
      <c r="B63" s="162" t="s">
        <v>271</v>
      </c>
      <c r="C63" s="232">
        <v>78</v>
      </c>
    </row>
    <row r="64" spans="2:3" ht="12.75">
      <c r="B64" s="162" t="s">
        <v>354</v>
      </c>
      <c r="C64" s="232">
        <v>11</v>
      </c>
    </row>
    <row r="65" spans="2:3" ht="12.75">
      <c r="B65" s="162"/>
      <c r="C65" s="232"/>
    </row>
    <row r="66" spans="2:3" ht="12.75">
      <c r="B66" s="162"/>
      <c r="C66" s="232"/>
    </row>
    <row r="67" spans="2:3" ht="12.75">
      <c r="B67" s="162"/>
      <c r="C67" s="232"/>
    </row>
    <row r="68" spans="2:3" ht="12.75">
      <c r="B68" s="10"/>
      <c r="C68" s="10"/>
    </row>
    <row r="70" spans="2:12" ht="25.5">
      <c r="B70" s="117" t="s">
        <v>119</v>
      </c>
      <c r="C70" s="169" t="s">
        <v>120</v>
      </c>
      <c r="E70" s="17"/>
      <c r="F70" s="17"/>
      <c r="G70" s="17"/>
      <c r="H70" s="17"/>
      <c r="I70" s="17"/>
      <c r="L70" s="1"/>
    </row>
    <row r="71" spans="2:3" ht="12.75">
      <c r="B71" s="43"/>
      <c r="C71" s="43"/>
    </row>
    <row r="72" spans="2:3" ht="12.75">
      <c r="B72" s="43" t="s">
        <v>263</v>
      </c>
      <c r="C72" s="335">
        <v>0.1</v>
      </c>
    </row>
    <row r="73" spans="2:15" ht="25.5">
      <c r="B73" s="120" t="s">
        <v>244</v>
      </c>
      <c r="C73" s="187">
        <v>0.03</v>
      </c>
      <c r="I73" s="23"/>
      <c r="L73" s="25"/>
      <c r="O73" s="25"/>
    </row>
    <row r="74" spans="2:9" ht="25.5">
      <c r="B74" s="120" t="s">
        <v>269</v>
      </c>
      <c r="C74" s="334">
        <v>0.114</v>
      </c>
      <c r="I74" s="23"/>
    </row>
    <row r="75" spans="2:9" ht="25.5">
      <c r="B75" s="120" t="s">
        <v>322</v>
      </c>
      <c r="C75" s="334">
        <v>0.13</v>
      </c>
      <c r="I75" s="23"/>
    </row>
    <row r="76" spans="2:9" ht="25.5">
      <c r="B76" s="120" t="s">
        <v>245</v>
      </c>
      <c r="C76" s="187">
        <v>0.05</v>
      </c>
      <c r="I76" s="23"/>
    </row>
    <row r="77" spans="2:9" ht="12.75">
      <c r="B77" s="120" t="s">
        <v>174</v>
      </c>
      <c r="C77" s="187">
        <v>0.03</v>
      </c>
      <c r="I77" s="23"/>
    </row>
    <row r="78" spans="2:9" ht="12.75">
      <c r="B78" s="43" t="s">
        <v>121</v>
      </c>
      <c r="C78" s="187">
        <v>0.12</v>
      </c>
      <c r="I78" s="23"/>
    </row>
    <row r="79" spans="2:9" ht="12.75">
      <c r="B79" s="43" t="s">
        <v>122</v>
      </c>
      <c r="C79" s="187">
        <v>0.2</v>
      </c>
      <c r="I79" s="23"/>
    </row>
    <row r="80" spans="2:15" ht="12.75">
      <c r="B80" s="43" t="s">
        <v>123</v>
      </c>
      <c r="C80" s="334">
        <v>0.21</v>
      </c>
      <c r="I80" s="23"/>
      <c r="O80" s="25"/>
    </row>
    <row r="81" spans="2:15" ht="12.75">
      <c r="B81" s="43" t="s">
        <v>171</v>
      </c>
      <c r="C81" s="187">
        <v>0.125</v>
      </c>
      <c r="I81" s="23"/>
      <c r="O81" s="25"/>
    </row>
    <row r="82" spans="2:15" ht="12.75">
      <c r="B82" s="43" t="s">
        <v>172</v>
      </c>
      <c r="C82" s="187">
        <v>0.18</v>
      </c>
      <c r="I82" s="23"/>
      <c r="O82" s="25"/>
    </row>
    <row r="83" spans="2:15" ht="12.75">
      <c r="B83" s="43" t="s">
        <v>173</v>
      </c>
      <c r="C83" s="187">
        <v>0.16</v>
      </c>
      <c r="I83" s="23"/>
      <c r="O83" s="25"/>
    </row>
    <row r="84" spans="2:15" ht="12.75">
      <c r="B84" s="43" t="s">
        <v>200</v>
      </c>
      <c r="C84" s="334">
        <v>0.181</v>
      </c>
      <c r="I84" s="23"/>
      <c r="O84" s="25"/>
    </row>
    <row r="85" spans="2:15" ht="12.75">
      <c r="B85" s="120"/>
      <c r="C85" s="187"/>
      <c r="I85" s="23"/>
      <c r="L85" s="22"/>
      <c r="O85" s="25"/>
    </row>
    <row r="86" spans="2:15" ht="12.75">
      <c r="B86" s="120" t="s">
        <v>328</v>
      </c>
      <c r="C86" s="187">
        <v>0.28</v>
      </c>
      <c r="I86" s="23"/>
      <c r="L86" s="22"/>
      <c r="O86" s="25"/>
    </row>
    <row r="87" spans="2:9" ht="12.75">
      <c r="B87" s="120" t="s">
        <v>189</v>
      </c>
      <c r="C87" s="334">
        <v>0.45</v>
      </c>
      <c r="I87" s="23"/>
    </row>
    <row r="88" spans="2:9" ht="12.75">
      <c r="B88" s="43" t="s">
        <v>126</v>
      </c>
      <c r="C88" s="187">
        <v>0.3</v>
      </c>
      <c r="I88" s="23"/>
    </row>
    <row r="89" spans="2:9" ht="12.75">
      <c r="B89" s="43" t="s">
        <v>124</v>
      </c>
      <c r="C89" s="187">
        <v>0.9</v>
      </c>
      <c r="I89" s="23"/>
    </row>
    <row r="90" spans="2:9" ht="12.75">
      <c r="B90" s="43" t="s">
        <v>181</v>
      </c>
      <c r="C90" s="187">
        <v>1.8</v>
      </c>
      <c r="I90" s="23"/>
    </row>
    <row r="91" spans="2:9" ht="12.75">
      <c r="B91" s="43" t="s">
        <v>125</v>
      </c>
      <c r="C91" s="187">
        <v>2</v>
      </c>
      <c r="I91" s="23"/>
    </row>
    <row r="92" spans="2:3" ht="12.75">
      <c r="B92" s="253" t="s">
        <v>218</v>
      </c>
      <c r="C92" s="254">
        <v>0.08</v>
      </c>
    </row>
    <row r="93" spans="2:3" ht="12.75">
      <c r="B93" s="43"/>
      <c r="C93" s="43"/>
    </row>
    <row r="94" spans="2:12" ht="12.75">
      <c r="B94" s="43"/>
      <c r="C94" s="43"/>
      <c r="L94" s="1"/>
    </row>
    <row r="95" spans="2:3" ht="12.75">
      <c r="B95" s="43"/>
      <c r="C95" s="43"/>
    </row>
    <row r="96" spans="2:6" ht="12.75">
      <c r="B96" s="115"/>
      <c r="C96" s="115"/>
      <c r="D96" s="1"/>
      <c r="E96" s="1"/>
      <c r="F96" s="25"/>
    </row>
    <row r="98" spans="4:16" ht="12.75">
      <c r="D98" s="1"/>
      <c r="E98" s="24"/>
      <c r="O98" s="1"/>
      <c r="P98" s="25"/>
    </row>
    <row r="99" spans="2:5" ht="12.75">
      <c r="B99" s="115" t="s">
        <v>162</v>
      </c>
      <c r="C99" s="43"/>
      <c r="D99" s="1"/>
      <c r="E99" s="24"/>
    </row>
    <row r="100" spans="2:5" ht="12.75">
      <c r="B100" s="43"/>
      <c r="C100" s="43"/>
      <c r="D100" s="1"/>
      <c r="E100" s="24"/>
    </row>
    <row r="101" spans="2:5" ht="12.75">
      <c r="B101" s="43" t="s">
        <v>163</v>
      </c>
      <c r="C101" s="232">
        <v>28.35</v>
      </c>
      <c r="D101" s="1"/>
      <c r="E101" s="24"/>
    </row>
    <row r="102" spans="2:16" ht="12.75">
      <c r="B102" s="43" t="s">
        <v>167</v>
      </c>
      <c r="C102" s="232">
        <v>0.0645</v>
      </c>
      <c r="D102" s="1"/>
      <c r="E102" s="24"/>
      <c r="L102" s="1"/>
      <c r="O102" s="1"/>
      <c r="P102" s="23"/>
    </row>
    <row r="103" spans="2:15" ht="12.75">
      <c r="B103" s="43" t="s">
        <v>164</v>
      </c>
      <c r="C103" s="232">
        <v>25.4</v>
      </c>
      <c r="D103" s="1"/>
      <c r="E103" s="24"/>
      <c r="O103" s="1"/>
    </row>
    <row r="104" spans="2:15" ht="12.75">
      <c r="B104" s="43" t="s">
        <v>165</v>
      </c>
      <c r="C104" s="232">
        <v>28.35</v>
      </c>
      <c r="D104" s="1"/>
      <c r="E104" s="24"/>
      <c r="O104" s="1"/>
    </row>
    <row r="105" spans="2:12" ht="12.75">
      <c r="B105" s="43" t="s">
        <v>166</v>
      </c>
      <c r="C105" s="232">
        <v>9.29</v>
      </c>
      <c r="D105" s="1"/>
      <c r="E105" s="24"/>
      <c r="L105" s="28"/>
    </row>
    <row r="106" spans="4:5" ht="12.75">
      <c r="D106" s="1"/>
      <c r="E106" s="24"/>
    </row>
    <row r="107" spans="4:15" ht="12.75">
      <c r="D107" s="1"/>
      <c r="E107" s="24"/>
      <c r="O107" s="1"/>
    </row>
    <row r="108" spans="4:15" ht="12.75">
      <c r="D108" s="1"/>
      <c r="E108" s="24"/>
      <c r="O108" s="1"/>
    </row>
    <row r="109" spans="4:15" ht="12.75">
      <c r="D109" s="1"/>
      <c r="E109" s="24"/>
      <c r="N109" s="1"/>
      <c r="O109" s="1"/>
    </row>
    <row r="110" spans="4:5" ht="12.75">
      <c r="D110" s="30"/>
      <c r="E110" s="24"/>
    </row>
    <row r="111" spans="4:5" ht="12.75">
      <c r="D111" s="30"/>
      <c r="E111" s="24"/>
    </row>
    <row r="112" spans="4:16" ht="12.75">
      <c r="D112" s="1"/>
      <c r="E112" s="24"/>
      <c r="L112" s="1"/>
      <c r="P112" s="25"/>
    </row>
    <row r="113" spans="4:16" ht="12.75">
      <c r="D113" s="1"/>
      <c r="E113" s="24"/>
      <c r="L113" s="1"/>
      <c r="P113" s="25"/>
    </row>
    <row r="114" spans="4:5" ht="12.75">
      <c r="D114" s="1"/>
      <c r="E114" s="24"/>
    </row>
    <row r="115" spans="4:5" ht="12.75">
      <c r="D115" s="1"/>
      <c r="E115" s="24"/>
    </row>
    <row r="116" spans="4:5" ht="12.75">
      <c r="D116" s="1"/>
      <c r="E116" s="24"/>
    </row>
    <row r="117" spans="4:5" ht="12.75">
      <c r="D117" s="1"/>
      <c r="E117" s="24"/>
    </row>
    <row r="118" spans="4:5" ht="12.75">
      <c r="D118" s="1"/>
      <c r="E118" s="24"/>
    </row>
    <row r="119" spans="2:8" ht="12.75">
      <c r="B119" s="1"/>
      <c r="C119" s="1"/>
      <c r="D119" s="1"/>
      <c r="E119" s="16"/>
      <c r="H119" s="23"/>
    </row>
    <row r="121" ht="12.75">
      <c r="E121" s="1"/>
    </row>
    <row r="122" ht="12.75">
      <c r="E122" s="1"/>
    </row>
    <row r="123" spans="2:5" ht="12.75">
      <c r="B123" s="1"/>
      <c r="E123" s="16"/>
    </row>
    <row r="124" ht="12.75">
      <c r="E124" s="1"/>
    </row>
    <row r="125" ht="12.75">
      <c r="E125" s="1"/>
    </row>
    <row r="126" ht="12.75">
      <c r="E126" s="1"/>
    </row>
    <row r="127" spans="2:5" ht="12.75">
      <c r="B127" s="1"/>
      <c r="E127" s="1"/>
    </row>
    <row r="128" ht="12.75">
      <c r="E128" s="1"/>
    </row>
    <row r="129" spans="4:5" ht="12.75">
      <c r="D129" s="1"/>
      <c r="E129" s="24"/>
    </row>
    <row r="130" spans="4:5" ht="12.75">
      <c r="D130" s="1"/>
      <c r="E130" s="24"/>
    </row>
    <row r="131" spans="4:5" ht="12.75">
      <c r="D131" s="1"/>
      <c r="E131" s="24"/>
    </row>
    <row r="132" spans="4:5" ht="12.75">
      <c r="D132" s="1"/>
      <c r="E132" s="24"/>
    </row>
    <row r="133" spans="2:5" ht="12.75">
      <c r="B133" s="1"/>
      <c r="E133" s="24"/>
    </row>
    <row r="137" ht="12.75">
      <c r="B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ht="12.75">
      <c r="D141" s="1"/>
    </row>
    <row r="143" spans="2:5" ht="12.75">
      <c r="B143" s="1"/>
      <c r="C143" s="1"/>
      <c r="D143" s="1"/>
      <c r="E143" s="1"/>
    </row>
    <row r="146" spans="2:8" ht="12.75">
      <c r="B146" s="1"/>
      <c r="C146" s="1"/>
      <c r="D146" s="1"/>
      <c r="E146" s="32"/>
      <c r="H146" s="24"/>
    </row>
    <row r="148" ht="12.75">
      <c r="D148" s="31"/>
    </row>
    <row r="151" spans="1:6" ht="12.75">
      <c r="A151" s="1"/>
      <c r="B151" s="1"/>
      <c r="C151" s="1"/>
      <c r="D151" s="1"/>
      <c r="E151" s="1"/>
      <c r="F151" s="25"/>
    </row>
    <row r="153" spans="2:10" ht="12.75">
      <c r="B153" s="26"/>
      <c r="C153" s="1"/>
      <c r="D153" s="29"/>
      <c r="E153" s="1"/>
      <c r="J153" s="27"/>
    </row>
    <row r="154" spans="2:5" ht="12.75">
      <c r="B154" s="26"/>
      <c r="C154" s="1"/>
      <c r="D154" s="29"/>
      <c r="E154" s="1"/>
    </row>
    <row r="155" spans="2:5" ht="12.75">
      <c r="B155" s="26"/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5" spans="2:7" ht="12.75">
      <c r="B165" s="1"/>
      <c r="C165" s="1"/>
      <c r="D165" s="1"/>
      <c r="E165" s="1"/>
      <c r="G165" s="23"/>
    </row>
    <row r="167" ht="12.75">
      <c r="B167" s="28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3" spans="2:7" ht="12.75">
      <c r="B173" s="1"/>
      <c r="C173" s="1"/>
      <c r="D173" s="1"/>
      <c r="E173" s="1"/>
      <c r="G173" s="23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D. Germann</dc:creator>
  <cp:keywords/>
  <dc:description/>
  <cp:lastModifiedBy>Peter D. Germann</cp:lastModifiedBy>
  <cp:lastPrinted>2011-01-11T12:00:09Z</cp:lastPrinted>
  <dcterms:created xsi:type="dcterms:W3CDTF">2006-02-08T15:19:35Z</dcterms:created>
  <dcterms:modified xsi:type="dcterms:W3CDTF">2011-01-27T12:41:31Z</dcterms:modified>
  <cp:category/>
  <cp:version/>
  <cp:contentType/>
  <cp:contentStatus/>
</cp:coreProperties>
</file>